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S:\Agency Services\Ricky\ATIII\County_Revenues_Yearly_Totals(for-Controllers-report-website-only)\2021\"/>
    </mc:Choice>
  </mc:AlternateContent>
  <xr:revisionPtr revIDLastSave="0" documentId="13_ncr:1_{38BDD37A-5A38-4360-BF33-3EC78105779B}" xr6:coauthVersionLast="47" xr6:coauthVersionMax="47" xr10:uidLastSave="{00000000-0000-0000-0000-000000000000}"/>
  <bookViews>
    <workbookView xWindow="34380" yWindow="525" windowWidth="21600" windowHeight="15645" activeTab="2" xr2:uid="{00000000-000D-0000-FFFF-FFFF00000000}"/>
  </bookViews>
  <sheets>
    <sheet name="2019" sheetId="41" r:id="rId1"/>
    <sheet name="2020" sheetId="36" r:id="rId2"/>
    <sheet name="2021" sheetId="4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0" i="41" l="1"/>
  <c r="B49" i="41"/>
  <c r="S48" i="41"/>
  <c r="R48" i="41"/>
  <c r="M48" i="41"/>
  <c r="G48" i="41"/>
  <c r="E48" i="41"/>
  <c r="D48" i="41"/>
  <c r="B48" i="41" s="1"/>
  <c r="B47" i="41"/>
  <c r="B46" i="41"/>
  <c r="S45" i="41"/>
  <c r="R45" i="41"/>
  <c r="M45" i="41"/>
  <c r="G45" i="41"/>
  <c r="E45" i="41"/>
  <c r="D45" i="41"/>
  <c r="B45" i="41" s="1"/>
  <c r="B44" i="41"/>
  <c r="S43" i="41"/>
  <c r="R43" i="41"/>
  <c r="M43" i="41"/>
  <c r="G43" i="41"/>
  <c r="E43" i="41"/>
  <c r="D43" i="41"/>
  <c r="B43" i="41" s="1"/>
  <c r="B42" i="41"/>
  <c r="B41" i="41"/>
  <c r="B40" i="41"/>
  <c r="B39" i="41"/>
  <c r="B38" i="41"/>
  <c r="B37" i="41"/>
  <c r="O36" i="41"/>
  <c r="B36" i="41" s="1"/>
  <c r="M36" i="41"/>
  <c r="G36" i="41"/>
  <c r="B35" i="41"/>
  <c r="B34" i="41"/>
  <c r="B33" i="41"/>
  <c r="S32" i="41"/>
  <c r="R32" i="41"/>
  <c r="O32" i="41"/>
  <c r="M32" i="41"/>
  <c r="G32" i="41"/>
  <c r="F32" i="41"/>
  <c r="E32" i="41"/>
  <c r="B32" i="41" s="1"/>
  <c r="D32" i="41"/>
  <c r="B31" i="41"/>
  <c r="B30" i="41"/>
  <c r="B29" i="41"/>
  <c r="B28" i="41"/>
  <c r="B27" i="41"/>
  <c r="B26" i="41"/>
  <c r="B25" i="41"/>
  <c r="B24" i="41"/>
  <c r="R23" i="41"/>
  <c r="O23" i="41"/>
  <c r="N23" i="41"/>
  <c r="M23" i="41"/>
  <c r="G23" i="41"/>
  <c r="F23" i="41"/>
  <c r="E23" i="41"/>
  <c r="D23" i="41"/>
  <c r="B23" i="41" s="1"/>
  <c r="B22" i="41"/>
  <c r="B21" i="41"/>
  <c r="B20" i="41"/>
  <c r="B19" i="41"/>
  <c r="B18" i="41"/>
  <c r="B17" i="41"/>
  <c r="B16" i="41"/>
  <c r="B15" i="41"/>
  <c r="B14" i="41"/>
  <c r="B13" i="41"/>
  <c r="B12" i="41"/>
  <c r="B11" i="41"/>
  <c r="B10" i="41"/>
  <c r="B9" i="41"/>
  <c r="B8" i="41"/>
  <c r="B7" i="41"/>
  <c r="B6" i="41"/>
  <c r="B5" i="41"/>
  <c r="B4" i="41"/>
  <c r="B3" i="41"/>
  <c r="Q51" i="36"/>
  <c r="P51" i="36"/>
  <c r="N51" i="36"/>
  <c r="L51" i="36"/>
  <c r="K51" i="36"/>
  <c r="J51" i="36"/>
  <c r="I51" i="36"/>
  <c r="H51" i="36"/>
  <c r="C51" i="36"/>
  <c r="B50" i="36"/>
  <c r="B49" i="36"/>
  <c r="B48" i="36"/>
  <c r="B47" i="36"/>
  <c r="B46" i="36"/>
  <c r="B45" i="36"/>
  <c r="B44" i="36"/>
  <c r="B43" i="36"/>
  <c r="B42" i="36"/>
  <c r="B41" i="36"/>
  <c r="B40" i="36"/>
  <c r="B39" i="36"/>
  <c r="B38" i="36"/>
  <c r="B37" i="36"/>
  <c r="B36" i="36"/>
  <c r="B35" i="36"/>
  <c r="B34" i="36"/>
  <c r="B33" i="36"/>
  <c r="B32" i="36"/>
  <c r="B31" i="36"/>
  <c r="B30" i="36"/>
  <c r="B29" i="36"/>
  <c r="E28" i="36"/>
  <c r="B28" i="36"/>
  <c r="M27" i="36"/>
  <c r="E27" i="36"/>
  <c r="B27" i="36"/>
  <c r="B26" i="36"/>
  <c r="B25" i="36"/>
  <c r="B24" i="36"/>
  <c r="S23" i="36"/>
  <c r="S51" i="36" s="1"/>
  <c r="R23" i="36"/>
  <c r="R51" i="36" s="1"/>
  <c r="O23" i="36"/>
  <c r="O51" i="36" s="1"/>
  <c r="N23" i="36"/>
  <c r="M23" i="36"/>
  <c r="M51" i="36" s="1"/>
  <c r="K23" i="36"/>
  <c r="G23" i="36"/>
  <c r="G51" i="36" s="1"/>
  <c r="F23" i="36"/>
  <c r="F51" i="36" s="1"/>
  <c r="E23" i="36"/>
  <c r="E51" i="36" s="1"/>
  <c r="D23" i="36"/>
  <c r="B23" i="36" s="1"/>
  <c r="B22" i="36"/>
  <c r="B21" i="36"/>
  <c r="B20" i="36"/>
  <c r="B19" i="36"/>
  <c r="B18" i="36"/>
  <c r="B17" i="36"/>
  <c r="B16" i="36"/>
  <c r="B15" i="36"/>
  <c r="B14" i="36"/>
  <c r="B13" i="36"/>
  <c r="B12" i="36"/>
  <c r="B11" i="36"/>
  <c r="B10" i="36"/>
  <c r="B9" i="36"/>
  <c r="B8" i="36"/>
  <c r="B7" i="36"/>
  <c r="B6" i="36"/>
  <c r="B5" i="36"/>
  <c r="B4" i="36"/>
  <c r="B3" i="36"/>
  <c r="B51" i="36" l="1"/>
  <c r="D51" i="36"/>
  <c r="B50" i="42" l="1"/>
  <c r="B49" i="42"/>
  <c r="B48" i="42"/>
  <c r="B47" i="42"/>
  <c r="B46" i="42"/>
  <c r="B45" i="42"/>
  <c r="B44" i="42"/>
  <c r="B43" i="42"/>
  <c r="B42" i="42"/>
  <c r="B41" i="42"/>
  <c r="B40" i="42"/>
  <c r="B39" i="42"/>
  <c r="B38" i="42"/>
  <c r="B37" i="42"/>
  <c r="B36" i="42"/>
  <c r="B35" i="42"/>
  <c r="B34" i="42"/>
  <c r="B33" i="42"/>
  <c r="B32" i="42"/>
  <c r="B31" i="42"/>
  <c r="B30" i="42"/>
  <c r="B29" i="42"/>
  <c r="B28" i="42"/>
  <c r="B27" i="42"/>
  <c r="B26" i="42"/>
  <c r="B25" i="42"/>
  <c r="B24" i="42"/>
  <c r="B23" i="42"/>
  <c r="B22" i="42"/>
  <c r="B21" i="42"/>
  <c r="B20" i="42"/>
  <c r="B19" i="42"/>
  <c r="B18" i="42"/>
  <c r="B17" i="42"/>
  <c r="B16" i="42"/>
  <c r="B15" i="42"/>
  <c r="B14" i="42"/>
  <c r="B13" i="42"/>
  <c r="B12" i="42"/>
  <c r="B11" i="42"/>
  <c r="B10" i="42"/>
  <c r="B9" i="42"/>
  <c r="B8" i="42"/>
  <c r="B7" i="42"/>
  <c r="B6" i="42"/>
  <c r="B5" i="42"/>
  <c r="B4" i="42"/>
  <c r="B3" i="42"/>
  <c r="Q51" i="42"/>
  <c r="P51" i="42"/>
  <c r="L51" i="42"/>
  <c r="J51" i="42"/>
  <c r="I51" i="42"/>
  <c r="H51" i="42"/>
  <c r="C51" i="42"/>
  <c r="M51" i="42" l="1"/>
  <c r="S51" i="42"/>
  <c r="R51" i="42"/>
  <c r="N51" i="42"/>
  <c r="G51" i="42"/>
  <c r="O51" i="42"/>
  <c r="F51" i="42"/>
  <c r="E51" i="42"/>
  <c r="K51" i="42"/>
  <c r="D51" i="42"/>
  <c r="B51" i="42" l="1"/>
</calcChain>
</file>

<file path=xl/sharedStrings.xml><?xml version="1.0" encoding="utf-8"?>
<sst xmlns="http://schemas.openxmlformats.org/spreadsheetml/2006/main" count="266" uniqueCount="124">
  <si>
    <t>TYPE OF REVENUE</t>
  </si>
  <si>
    <t>CARSON CITY</t>
  </si>
  <si>
    <t>CHURCHILL</t>
  </si>
  <si>
    <t>CLARK</t>
  </si>
  <si>
    <t>DOUGLAS</t>
  </si>
  <si>
    <t>ELKO</t>
  </si>
  <si>
    <t>ESMERALDA</t>
  </si>
  <si>
    <t>EUREKA</t>
  </si>
  <si>
    <t>HUMBOLDT</t>
  </si>
  <si>
    <t>LANDER</t>
  </si>
  <si>
    <t>LINCOLN</t>
  </si>
  <si>
    <t>LYON</t>
  </si>
  <si>
    <t>PERSHING</t>
  </si>
  <si>
    <t>STOREY</t>
  </si>
  <si>
    <t>WASHOE</t>
  </si>
  <si>
    <t>WHITE PINE</t>
  </si>
  <si>
    <t>TOTAL</t>
  </si>
  <si>
    <t>Displaced Homemaker</t>
  </si>
  <si>
    <t>Water District tax</t>
  </si>
  <si>
    <t>Marriage Licenses</t>
  </si>
  <si>
    <t>Civil Action fees</t>
  </si>
  <si>
    <t>Personal Property tax</t>
  </si>
  <si>
    <t>Real Property tax</t>
  </si>
  <si>
    <t>Indigent Accident</t>
  </si>
  <si>
    <t>District Court Adm Assessment</t>
  </si>
  <si>
    <t>Divorce fees</t>
  </si>
  <si>
    <t>Justice Court fines</t>
  </si>
  <si>
    <t>District Court fines</t>
  </si>
  <si>
    <t>Court Admin Assessments</t>
  </si>
  <si>
    <t>Real Property Transfer tax $.55</t>
  </si>
  <si>
    <t>Real Property Transfer tax $.10</t>
  </si>
  <si>
    <t>Estimated Population fees</t>
  </si>
  <si>
    <t>Trust Property sales</t>
  </si>
  <si>
    <t>90% Forfeiture-Victims of Crime</t>
  </si>
  <si>
    <t>10% Forfeiture-Specialty Court</t>
  </si>
  <si>
    <t>Foster Care fees</t>
  </si>
  <si>
    <t>Real Property Trans tax $1.30</t>
  </si>
  <si>
    <t>Specialty Court Programs</t>
  </si>
  <si>
    <t xml:space="preserve">Indigent Medical </t>
  </si>
  <si>
    <t>Graffiti Reward Fund</t>
  </si>
  <si>
    <t>Real Property Transfer tax (LGTA-Fair Share)-4581</t>
  </si>
  <si>
    <t>Real Property Transfer tax (LGTA-Fair Share)-4582</t>
  </si>
  <si>
    <t>Cap Facilities Tax Alloc - NDOT</t>
  </si>
  <si>
    <t>Gift Account for Veteran's Homes</t>
  </si>
  <si>
    <t>Special Ad Valorem - NDOT-CL</t>
  </si>
  <si>
    <t>Domestic Violence</t>
  </si>
  <si>
    <t>Bail Bond Filing Fees</t>
  </si>
  <si>
    <t>ML Recorders Cert Copies/Dom Viol</t>
  </si>
  <si>
    <t>ML Clerks Cert Copies/Dom Viol</t>
  </si>
  <si>
    <t>ML Clerks/Domestic Violence</t>
  </si>
  <si>
    <t>ML Comm Civil/Just Peace/Dom Viol</t>
  </si>
  <si>
    <t>Notice of Default-Gen Fnd</t>
  </si>
  <si>
    <t>Real Property Transfer tax (WA-LGTA-Fair Share)-4580</t>
  </si>
  <si>
    <t>Real Property Transfer tax (WA-LGTA-Fair Share)-4581</t>
  </si>
  <si>
    <t>Real Property Transfer tax (WA-LGTA-Fair Share)-4582</t>
  </si>
  <si>
    <t>General Fund Admin. Assess.</t>
  </si>
  <si>
    <t>Fees and Taxes Paid to State</t>
  </si>
  <si>
    <t>CMA (Santini-Burton)</t>
  </si>
  <si>
    <t>$10 Multi-Party Court Tech Filing Fee</t>
  </si>
  <si>
    <t>$5 Multi-Party SR Judge Prog Filing Fee</t>
  </si>
  <si>
    <t>Property Tax Abatement</t>
  </si>
  <si>
    <t>DUI Fee Assessment</t>
  </si>
  <si>
    <t>Indigent Medical (Prior Years-Elko)</t>
  </si>
  <si>
    <t>Peremptory Challenge Fees-Clark Co</t>
  </si>
  <si>
    <t>MINERAL</t>
  </si>
  <si>
    <t>NYE</t>
  </si>
  <si>
    <t>1. Boulder City, Henderson, Las Vegas, Laughlin, Moapa, N. Las Vegas, Searchlight</t>
  </si>
  <si>
    <t>2. Tahoe</t>
  </si>
  <si>
    <t>3. Carlin, Elko City, Wells</t>
  </si>
  <si>
    <t>4. Canal Township, Dayton, Fernley, Yerington</t>
  </si>
  <si>
    <t>5. Tonopah</t>
  </si>
  <si>
    <t>6. Beatty, Pahrump</t>
  </si>
  <si>
    <t>7. Reno, Sparks</t>
  </si>
  <si>
    <t>8. Fallon</t>
  </si>
  <si>
    <t>9. Boulder City, Henderson, Las Vegas, Laughlin, N. Las Vegas, Mesquite</t>
  </si>
  <si>
    <t>10. Douglas</t>
  </si>
  <si>
    <t>11. Carlin, Elko City, Wells, West Wendover</t>
  </si>
  <si>
    <t>12. Canal Township, Fernley, Yerington</t>
  </si>
  <si>
    <t>13. Tonopah</t>
  </si>
  <si>
    <t>14. Beatty, Pahrump, Tonopah</t>
  </si>
  <si>
    <t>15. Reno, Sparks</t>
  </si>
  <si>
    <t>16. Ely</t>
  </si>
  <si>
    <t>17. Carlin, Eastline Justice Court, Wells</t>
  </si>
  <si>
    <t>18. Fernley</t>
  </si>
  <si>
    <t>19. Beatty, Tonopah</t>
  </si>
  <si>
    <t>20. Fallon</t>
  </si>
  <si>
    <t>21. Boulder City, Henderson, Las Vegas, Mesquite, North Las Vegas</t>
  </si>
  <si>
    <t>22. Carlin, City of Elko, Wells, West Wendover</t>
  </si>
  <si>
    <t>23. Fernley, Yerington</t>
  </si>
  <si>
    <t>24. Reno, Sparks</t>
  </si>
  <si>
    <t>25. Ely</t>
  </si>
  <si>
    <t>26. Fallon</t>
  </si>
  <si>
    <t>27. Boulder City, Henderson, Las Vegas, Mesquite, North Las Vegas</t>
  </si>
  <si>
    <t>28. Carlin, City of Elko, Wells, West Wendover</t>
  </si>
  <si>
    <t>29. Fernley, Yerington</t>
  </si>
  <si>
    <t>29. Ely</t>
  </si>
  <si>
    <t>30. CMA (Santini-Burton) total Includes Sale of Public</t>
  </si>
  <si>
    <t>31. Fallon</t>
  </si>
  <si>
    <t>32. Boulder, Henderson, Las Vegas, North Las Vegas, Mesquite</t>
  </si>
  <si>
    <t>33. Carlin, City of Elko, Wells, West Wendover</t>
  </si>
  <si>
    <t>34. Fernley, Yerington</t>
  </si>
  <si>
    <t>35. Reno, Sparks</t>
  </si>
  <si>
    <t>36. Ely</t>
  </si>
  <si>
    <t>Included Revenues Notes:</t>
  </si>
  <si>
    <t>Notice of Default/Foreclosure Mediation</t>
  </si>
  <si>
    <t>1. Boulder City, Henderson, Las Vegas, Laughlin, Moapa, N. Las Vegas, Mesquite</t>
  </si>
  <si>
    <t>Municipal Court fines</t>
  </si>
  <si>
    <t>2. Carlin, Elko City, Wells</t>
  </si>
  <si>
    <t>3. Beatty, Pahrump</t>
  </si>
  <si>
    <t>4. Reno, Sparks</t>
  </si>
  <si>
    <t>5. Fallon</t>
  </si>
  <si>
    <t>6. Tonopah</t>
  </si>
  <si>
    <t>8. Ely</t>
  </si>
  <si>
    <t>9. Carlin, Eastline Justice Court, Wells</t>
  </si>
  <si>
    <t>10. Carlin, City of Elko, Wells, West Wendover</t>
  </si>
  <si>
    <t>11. Fernley, Yerington</t>
  </si>
  <si>
    <t>12. Ely</t>
  </si>
  <si>
    <t>13. Argenta</t>
  </si>
  <si>
    <t>14. East Fork</t>
  </si>
  <si>
    <t>15. North Las Vegas</t>
  </si>
  <si>
    <t>16. Argenta, Beatty, Boulder, Canal, Dayton, East Fork, Eastline, Ely, Fallon, Fernley, Las Vegas, North Las Vegas, Laughlin, Mesquite, Moapa, Reno, Sparks, Tahoe, Tonopah, Walker River, Yerington</t>
  </si>
  <si>
    <t>1. Beatty, Boulder, Carlin, East Fork, Eastline, Ely, Fallon, Fernley, Henderson, North Las Vegas, Las Vegas, Mesquite, Pahrump, Reno, Sparks, Tahoe, Tonopah, Wells, Yerington</t>
  </si>
  <si>
    <t>4. Boulder, Carlin, Ely, Fallon, Fernley, Henderson, Las Vegas, Mesquite, North Las Vegas, Reno, Sparks, West Wendover, Wells, Yerington</t>
  </si>
  <si>
    <t>5 Boulder, Fernley, Henderson, Las Vegas, Mesquite, North Las Vegas, Yerington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</si>
</sst>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11" x14ac:knownFonts="1">
    <font>
      <sz val="10"/>
      <name val="Arial"/>
    </font>
    <font>
      <sz val="10"/>
      <name val="Arial"/>
      <family val="2"/>
    </font>
    <font>
      <sz val="18"/>
      <color theme="3"/>
      <name val="Cambria"/>
      <family val="2"/>
      <scheme val="major"/>
    </font>
    <font>
      <b/>
      <sz val="15"/>
      <color theme="3"/>
      <name val="Calibri"/>
      <family val="2"/>
      <scheme val="minor"/>
    </font>
    <font>
      <i/>
      <sz val="11"/>
      <color rgb="FF7F7F7F"/>
      <name val="Calibri"/>
      <family val="2"/>
      <scheme val="minor"/>
    </font>
    <font>
      <u/>
      <sz val="10"/>
      <color theme="10"/>
      <name val="Arial"/>
      <family val="2"/>
    </font>
    <font>
      <i/>
      <sz val="10"/>
      <color rgb="FF7F7F7F"/>
      <name val="Arial"/>
      <family val="2"/>
    </font>
    <font>
      <sz val="18"/>
      <color theme="3"/>
      <name val="Calibri"/>
      <family val="2"/>
      <scheme val="minor"/>
    </font>
    <font>
      <b/>
      <sz val="10"/>
      <color theme="0"/>
      <name val="Arial"/>
      <family val="2"/>
    </font>
    <font>
      <i/>
      <sz val="10"/>
      <color theme="1"/>
      <name val="Arial"/>
      <family val="2"/>
    </font>
    <font>
      <i/>
      <sz val="10"/>
      <name val="Arial"/>
      <family val="2"/>
    </font>
  </fonts>
  <fills count="3">
    <fill>
      <patternFill patternType="none"/>
    </fill>
    <fill>
      <patternFill patternType="gray125"/>
    </fill>
    <fill>
      <patternFill patternType="solid">
        <fgColor theme="3"/>
        <bgColor indexed="64"/>
      </patternFill>
    </fill>
  </fills>
  <borders count="5">
    <border>
      <left/>
      <right/>
      <top/>
      <bottom/>
      <diagonal/>
    </border>
    <border>
      <left/>
      <right/>
      <top/>
      <bottom style="thick">
        <color theme="4"/>
      </bottom>
      <diagonal/>
    </border>
    <border>
      <left/>
      <right/>
      <top/>
      <bottom style="thick">
        <color theme="4" tint="0.499984740745262"/>
      </bottom>
      <diagonal/>
    </border>
    <border>
      <left/>
      <right/>
      <top style="medium">
        <color auto="1"/>
      </top>
      <bottom style="double">
        <color auto="1"/>
      </bottom>
      <diagonal/>
    </border>
    <border>
      <left/>
      <right/>
      <top style="medium">
        <color auto="1"/>
      </top>
      <bottom/>
      <diagonal/>
    </border>
  </borders>
  <cellStyleXfs count="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6">
    <xf numFmtId="0" fontId="0" fillId="0" borderId="0" xfId="0"/>
    <xf numFmtId="0" fontId="1" fillId="0" borderId="0" xfId="0" applyFont="1"/>
    <xf numFmtId="39" fontId="0" fillId="0" borderId="4" xfId="0" applyNumberFormat="1" applyBorder="1"/>
    <xf numFmtId="7" fontId="1" fillId="0" borderId="0" xfId="0" applyNumberFormat="1" applyFont="1"/>
    <xf numFmtId="39" fontId="1" fillId="0" borderId="0" xfId="0" applyNumberFormat="1" applyFont="1"/>
    <xf numFmtId="0" fontId="1" fillId="0" borderId="4" xfId="0" applyFont="1" applyBorder="1"/>
    <xf numFmtId="7" fontId="1" fillId="0" borderId="4" xfId="0" applyNumberFormat="1" applyFont="1" applyBorder="1"/>
    <xf numFmtId="39" fontId="1" fillId="0" borderId="4" xfId="0" applyNumberFormat="1" applyFont="1" applyBorder="1"/>
    <xf numFmtId="0" fontId="1" fillId="0" borderId="3" xfId="0" applyFont="1" applyBorder="1"/>
    <xf numFmtId="0" fontId="6" fillId="0" borderId="0" xfId="3" applyFont="1"/>
    <xf numFmtId="0" fontId="7" fillId="0" borderId="2" xfId="1" applyFont="1" applyBorder="1"/>
    <xf numFmtId="0" fontId="8" fillId="2" borderId="1" xfId="2" applyFont="1" applyFill="1" applyBorder="1" applyAlignment="1">
      <alignment horizontal="left"/>
    </xf>
    <xf numFmtId="0" fontId="8" fillId="2" borderId="1" xfId="2" applyFont="1" applyFill="1" applyBorder="1" applyAlignment="1">
      <alignment horizontal="center"/>
    </xf>
    <xf numFmtId="39" fontId="8" fillId="2" borderId="1" xfId="2" applyNumberFormat="1" applyFont="1" applyFill="1" applyBorder="1" applyAlignment="1">
      <alignment horizontal="center"/>
    </xf>
    <xf numFmtId="0" fontId="9" fillId="0" borderId="0" xfId="3" applyFont="1"/>
    <xf numFmtId="0" fontId="9" fillId="0" borderId="0" xfId="3" applyFont="1" applyAlignment="1">
      <alignment horizontal="left"/>
    </xf>
    <xf numFmtId="0" fontId="8" fillId="2" borderId="1" xfId="2" applyFont="1" applyFill="1" applyAlignment="1">
      <alignment horizontal="left"/>
    </xf>
    <xf numFmtId="0" fontId="8" fillId="2" borderId="1" xfId="2" applyFont="1" applyFill="1" applyAlignment="1">
      <alignment horizontal="center"/>
    </xf>
    <xf numFmtId="39" fontId="8" fillId="2" borderId="1" xfId="2" applyNumberFormat="1" applyFont="1" applyFill="1" applyAlignment="1">
      <alignment horizontal="center"/>
    </xf>
    <xf numFmtId="39" fontId="1" fillId="0" borderId="0" xfId="4" applyNumberFormat="1" applyFont="1"/>
    <xf numFmtId="7" fontId="1" fillId="0" borderId="0" xfId="4" applyNumberFormat="1" applyFont="1"/>
    <xf numFmtId="39" fontId="5" fillId="0" borderId="0" xfId="4" applyNumberFormat="1"/>
    <xf numFmtId="0" fontId="9" fillId="0" borderId="0" xfId="3" applyFont="1" applyAlignment="1">
      <alignment horizontal="left" wrapText="1"/>
    </xf>
    <xf numFmtId="0" fontId="10" fillId="0" borderId="0" xfId="4" quotePrefix="1" applyFont="1" applyAlignment="1">
      <alignment horizontal="left"/>
    </xf>
    <xf numFmtId="39" fontId="5" fillId="0" borderId="0" xfId="4" quotePrefix="1" applyNumberFormat="1"/>
    <xf numFmtId="4" fontId="0" fillId="0" borderId="0" xfId="0" applyNumberFormat="1"/>
  </cellXfs>
  <cellStyles count="5">
    <cellStyle name="Explanatory Text" xfId="3" builtinId="53"/>
    <cellStyle name="Heading 1" xfId="2" builtinId="16"/>
    <cellStyle name="Hyperlink" xfId="4" builtinId="8"/>
    <cellStyle name="Normal" xfId="0" builtinId="0"/>
    <cellStyle name="Title" xfId="1" builtinId="15"/>
  </cellStyles>
  <dxfs count="69">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b val="0"/>
        <i val="0"/>
        <strike val="0"/>
        <condense val="0"/>
        <extend val="0"/>
        <outline val="0"/>
        <shadow val="0"/>
        <u val="none"/>
        <vertAlign val="baseline"/>
        <sz val="10"/>
        <color auto="1"/>
        <name val="Arial"/>
        <family val="2"/>
        <scheme val="none"/>
      </font>
      <numFmt numFmtId="7" formatCode="#,##0.00_);\(#,##0.00\)"/>
    </dxf>
    <dxf>
      <font>
        <b val="0"/>
        <i val="0"/>
        <strike val="0"/>
        <condense val="0"/>
        <extend val="0"/>
        <outline val="0"/>
        <shadow val="0"/>
        <u val="none"/>
        <vertAlign val="baseline"/>
        <sz val="10"/>
        <color auto="1"/>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11" formatCode="&quot;$&quot;#,##0.00_);\(&quot;$&quot;#,##0.00\)"/>
    </dxf>
    <dxf>
      <font>
        <strike val="0"/>
        <outline val="0"/>
        <shadow val="0"/>
        <vertAlign val="baseline"/>
        <sz val="10"/>
        <name val="Arial"/>
        <family val="2"/>
        <scheme val="none"/>
      </font>
    </dxf>
    <dxf>
      <border outline="0">
        <bottom style="double">
          <color auto="1"/>
        </bottom>
      </border>
    </dxf>
    <dxf>
      <font>
        <strike val="0"/>
        <outline val="0"/>
        <shadow val="0"/>
        <vertAlign val="baseline"/>
        <sz val="10"/>
        <name val="Arial"/>
        <family val="2"/>
        <scheme val="none"/>
      </font>
      <numFmt numFmtId="7" formatCode="#,##0.00_);\(#,##0.00\)"/>
    </dxf>
    <dxf>
      <border>
        <bottom style="thick">
          <color theme="4"/>
        </bottom>
      </border>
    </dxf>
    <dxf>
      <font>
        <b/>
        <i val="0"/>
        <strike val="0"/>
        <condense val="0"/>
        <extend val="0"/>
        <outline val="0"/>
        <shadow val="0"/>
        <u val="none"/>
        <vertAlign val="baseline"/>
        <sz val="10"/>
        <color theme="0"/>
        <name val="Arial"/>
        <family val="2"/>
        <scheme val="none"/>
      </font>
      <numFmt numFmtId="7" formatCode="#,##0.00_);\(#,##0.00\)"/>
      <fill>
        <patternFill patternType="solid">
          <fgColor indexed="64"/>
          <bgColor theme="3"/>
        </patternFill>
      </fill>
      <alignment horizontal="center" vertical="bottom" textRotation="0" wrapText="0" indent="0" justifyLastLine="0" shrinkToFit="0" readingOrder="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b val="0"/>
        <i val="0"/>
        <strike val="0"/>
        <condense val="0"/>
        <extend val="0"/>
        <outline val="0"/>
        <shadow val="0"/>
        <u val="none"/>
        <vertAlign val="baseline"/>
        <sz val="10"/>
        <color auto="1"/>
        <name val="Arial"/>
        <family val="2"/>
        <scheme val="none"/>
      </font>
      <numFmt numFmtId="7" formatCode="#,##0.00_);\(#,##0.00\)"/>
    </dxf>
    <dxf>
      <font>
        <b val="0"/>
        <i val="0"/>
        <strike val="0"/>
        <condense val="0"/>
        <extend val="0"/>
        <outline val="0"/>
        <shadow val="0"/>
        <u val="none"/>
        <vertAlign val="baseline"/>
        <sz val="10"/>
        <color auto="1"/>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11" formatCode="&quot;$&quot;#,##0.00_);\(&quot;$&quot;#,##0.00\)"/>
    </dxf>
    <dxf>
      <font>
        <strike val="0"/>
        <outline val="0"/>
        <shadow val="0"/>
        <vertAlign val="baseline"/>
        <sz val="10"/>
        <name val="Arial"/>
        <family val="2"/>
        <scheme val="none"/>
      </font>
    </dxf>
    <dxf>
      <border outline="0">
        <bottom style="double">
          <color auto="1"/>
        </bottom>
      </border>
    </dxf>
    <dxf>
      <font>
        <strike val="0"/>
        <outline val="0"/>
        <shadow val="0"/>
        <vertAlign val="baseline"/>
        <sz val="10"/>
        <name val="Arial"/>
        <family val="2"/>
        <scheme val="none"/>
      </font>
      <numFmt numFmtId="7" formatCode="#,##0.00_);\(#,##0.00\)"/>
    </dxf>
    <dxf>
      <border>
        <bottom style="thick">
          <color theme="4"/>
        </bottom>
      </border>
    </dxf>
    <dxf>
      <font>
        <b/>
        <i val="0"/>
        <strike val="0"/>
        <condense val="0"/>
        <extend val="0"/>
        <outline val="0"/>
        <shadow val="0"/>
        <u val="none"/>
        <vertAlign val="baseline"/>
        <sz val="10"/>
        <color theme="0"/>
        <name val="Arial"/>
        <family val="2"/>
        <scheme val="none"/>
      </font>
      <numFmt numFmtId="7" formatCode="#,##0.00_);\(#,##0.00\)"/>
      <fill>
        <patternFill patternType="solid">
          <fgColor indexed="64"/>
          <bgColor theme="3"/>
        </patternFill>
      </fill>
      <alignment horizontal="center" vertical="bottom" textRotation="0" wrapText="0" indent="0" justifyLastLine="0" shrinkToFit="0" readingOrder="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b val="0"/>
        <i val="0"/>
        <strike val="0"/>
        <condense val="0"/>
        <extend val="0"/>
        <outline val="0"/>
        <shadow val="0"/>
        <u val="none"/>
        <vertAlign val="baseline"/>
        <sz val="10"/>
        <color auto="1"/>
        <name val="Arial"/>
        <family val="2"/>
        <scheme val="none"/>
      </font>
      <numFmt numFmtId="7" formatCode="#,##0.00_);\(#,##0.00\)"/>
    </dxf>
    <dxf>
      <font>
        <b val="0"/>
        <i val="0"/>
        <strike val="0"/>
        <condense val="0"/>
        <extend val="0"/>
        <outline val="0"/>
        <shadow val="0"/>
        <u val="none"/>
        <vertAlign val="baseline"/>
        <sz val="10"/>
        <color auto="1"/>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7" formatCode="#,##0.00_);\(#,##0.00\)"/>
    </dxf>
    <dxf>
      <font>
        <strike val="0"/>
        <outline val="0"/>
        <shadow val="0"/>
        <vertAlign val="baseline"/>
        <sz val="10"/>
        <name val="Arial"/>
        <family val="2"/>
        <scheme val="none"/>
      </font>
      <numFmt numFmtId="11" formatCode="&quot;$&quot;#,##0.00_);\(&quot;$&quot;#,##0.00\)"/>
    </dxf>
    <dxf>
      <font>
        <strike val="0"/>
        <outline val="0"/>
        <shadow val="0"/>
        <vertAlign val="baseline"/>
        <sz val="10"/>
        <name val="Arial"/>
        <family val="2"/>
        <scheme val="none"/>
      </font>
    </dxf>
    <dxf>
      <border outline="0">
        <bottom style="double">
          <color auto="1"/>
        </bottom>
      </border>
    </dxf>
    <dxf>
      <font>
        <strike val="0"/>
        <outline val="0"/>
        <shadow val="0"/>
        <vertAlign val="baseline"/>
        <sz val="10"/>
        <name val="Arial"/>
        <family val="2"/>
        <scheme val="none"/>
      </font>
      <numFmt numFmtId="7" formatCode="#,##0.00_);\(#,##0.00\)"/>
    </dxf>
    <dxf>
      <border>
        <bottom style="thick">
          <color theme="4"/>
        </bottom>
      </border>
    </dxf>
    <dxf>
      <font>
        <b/>
        <i val="0"/>
        <strike val="0"/>
        <condense val="0"/>
        <extend val="0"/>
        <outline val="0"/>
        <shadow val="0"/>
        <u val="none"/>
        <vertAlign val="baseline"/>
        <sz val="10"/>
        <color theme="0"/>
        <name val="Arial"/>
        <family val="2"/>
        <scheme val="none"/>
      </font>
      <numFmt numFmtId="7" formatCode="#,##0.00_);\(#,##0.00\)"/>
      <fill>
        <patternFill patternType="solid">
          <fgColor indexed="64"/>
          <bgColor theme="3"/>
        </patternFill>
      </fill>
      <alignment horizontal="center"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82F85FE-F4BA-43EB-8702-48267922AE6E}" name="Table1" displayName="Table1" ref="A2:S50" totalsRowShown="0" headerRowDxfId="68" dataDxfId="66" headerRowBorderDxfId="67" tableBorderDxfId="65" headerRowCellStyle="Heading 1">
  <autoFilter ref="A2:S50" xr:uid="{082F85FE-F4BA-43EB-8702-48267922AE6E}"/>
  <tableColumns count="19">
    <tableColumn id="1" xr3:uid="{F4C8A17B-077E-4DB9-A951-64C38ED83398}" name="TYPE OF REVENUE" dataDxfId="64"/>
    <tableColumn id="2" xr3:uid="{3AD5ECF7-B1C3-4315-9F50-2C6ACFE43C93}" name="TOTAL" dataDxfId="63">
      <calculatedColumnFormula>SUM(Table1[[#This Row],[CARSON CITY]:[WHITE PINE]])</calculatedColumnFormula>
    </tableColumn>
    <tableColumn id="3" xr3:uid="{A1E9714B-E12C-42F2-9720-3B31BF29F0D2}" name="CARSON CITY" dataDxfId="62"/>
    <tableColumn id="4" xr3:uid="{9D866AE1-6E01-4D89-A483-AD935035308B}" name="CHURCHILL" dataDxfId="61"/>
    <tableColumn id="5" xr3:uid="{57E6D86B-D05B-494D-9E9F-7DC7B932E973}" name="CLARK" dataDxfId="60"/>
    <tableColumn id="6" xr3:uid="{D9E776F3-617D-4E40-B4EC-2A1E33A44374}" name="DOUGLAS" dataDxfId="59"/>
    <tableColumn id="7" xr3:uid="{41DF8DE2-1106-46A8-B77B-8269C22C3D87}" name="ELKO" dataDxfId="58"/>
    <tableColumn id="9" xr3:uid="{3F2BDF69-5541-4182-8677-7E9530869A12}" name="ESMERALDA" dataDxfId="57"/>
    <tableColumn id="10" xr3:uid="{DF91A2D2-A95C-4297-9333-49A6DAC25E45}" name="EUREKA" dataDxfId="56"/>
    <tableColumn id="11" xr3:uid="{79C4E60A-2ABA-4E9C-8AD1-C65A34B9A555}" name="HUMBOLDT" dataDxfId="55"/>
    <tableColumn id="12" xr3:uid="{1DD34294-E429-4D97-B44E-F740247C22B6}" name="LANDER" dataDxfId="54"/>
    <tableColumn id="13" xr3:uid="{B73EAD00-69BA-4811-989B-1F2172535E8B}" name="LINCOLN" dataDxfId="53"/>
    <tableColumn id="14" xr3:uid="{EA31BEDA-3A39-448D-A1D9-175C721E55FA}" name="LYON" dataDxfId="52"/>
    <tableColumn id="8" xr3:uid="{DD342444-0447-4EBF-BF2F-D582997A5F86}" name="MINERAL" dataDxfId="51"/>
    <tableColumn id="15" xr3:uid="{FEBBF171-A8F1-4B5C-ADF5-A60F57DCE449}" name="NYE" dataDxfId="50"/>
    <tableColumn id="18" xr3:uid="{A3D03EC4-E30D-4BB5-8DE1-A6B31FF441F3}" name="PERSHING" dataDxfId="49"/>
    <tableColumn id="19" xr3:uid="{9A752B3E-9548-4B87-8447-A4D4339AACAA}" name="STOREY" dataDxfId="48"/>
    <tableColumn id="20" xr3:uid="{ACBC093A-0B44-41C4-B1E0-DF76DADC6A18}" name="WASHOE" dataDxfId="47"/>
    <tableColumn id="21" xr3:uid="{96233C18-F166-47CC-9735-510122B7854A}" name="WHITE PINE" dataDxfId="46"/>
  </tableColumns>
  <tableStyleInfo name="TableStyleLight16" showFirstColumn="0" showLastColumn="0" showRowStripes="1" showColumnStripes="0"/>
  <extLst>
    <ext xmlns:x14="http://schemas.microsoft.com/office/spreadsheetml/2009/9/main" uri="{504A1905-F514-4f6f-8877-14C23A59335A}">
      <x14:table altText="State Revenue For County Fees " altTextSummary="Fiscal Year 2018 Fees and Taxes Paid to the State of Nevada. Table consists of 19 columns. The first column indicates the type of revenue. The second is the total. The remaining columns are Nevada counties: Carson City, Churchill, Clark, Douglas, Elko, Esmeralda, Eureka, Humboldt, Lander, Lincoln, Lyon, Mineral, Nye, Pershing, Storey, Washoe and White Pin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677256A-DD65-43EC-A90A-5E2FC841C740}" name="Table135" displayName="Table135" ref="A2:S51" totalsRowShown="0" headerRowDxfId="45" dataDxfId="43" headerRowBorderDxfId="44" tableBorderDxfId="42" headerRowCellStyle="Heading 1">
  <autoFilter ref="A2:S51" xr:uid="{3677256A-DD65-43EC-A90A-5E2FC841C740}"/>
  <tableColumns count="19">
    <tableColumn id="1" xr3:uid="{2ABFD495-A149-4E7B-BC14-4AD8264994CA}" name="TYPE OF REVENUE" dataDxfId="41"/>
    <tableColumn id="2" xr3:uid="{8FABCCFC-AB9E-4E12-9657-55D7B1E36B50}" name="TOTAL" dataDxfId="40">
      <calculatedColumnFormula>SUM(Table135[[#This Row],[CARSON CITY]:[WHITE PINE]])</calculatedColumnFormula>
    </tableColumn>
    <tableColumn id="3" xr3:uid="{B42FA236-A2E9-4AB5-A023-333EC308D12E}" name="CARSON CITY" dataDxfId="39"/>
    <tableColumn id="4" xr3:uid="{CEA19F44-D2F6-4ED7-B2A2-E12216377C13}" name="CHURCHILL" dataDxfId="38"/>
    <tableColumn id="5" xr3:uid="{7C988478-71D3-46BA-92BA-0F934F04B974}" name="CLARK" dataDxfId="37"/>
    <tableColumn id="6" xr3:uid="{E6220EA3-EBDA-44E7-B9BB-4E5406D48B6B}" name="DOUGLAS" dataDxfId="36"/>
    <tableColumn id="7" xr3:uid="{A5B0BF6D-A7DC-42C0-9275-4DD7E4F6D1FA}" name="ELKO" dataDxfId="35"/>
    <tableColumn id="9" xr3:uid="{5D2640C8-07F7-441A-8C10-5C263BB79CE3}" name="ESMERALDA" dataDxfId="34"/>
    <tableColumn id="10" xr3:uid="{D177E16F-CE86-414A-B549-1BF4A6739204}" name="EUREKA" dataDxfId="33"/>
    <tableColumn id="11" xr3:uid="{4792B4F8-07E3-4969-AA11-6B58FD8DF1C8}" name="HUMBOLDT" dataDxfId="32"/>
    <tableColumn id="12" xr3:uid="{0938A5A1-6F55-47FD-BC66-9F7DA70CE152}" name="LANDER" dataDxfId="31"/>
    <tableColumn id="13" xr3:uid="{15822EE0-0ED6-46D7-A0C2-EB2828B43874}" name="LINCOLN" dataDxfId="30"/>
    <tableColumn id="14" xr3:uid="{ACD19CB1-A50E-45D0-8AED-1CBA46982F15}" name="LYON" dataDxfId="29"/>
    <tableColumn id="8" xr3:uid="{244A84E7-E06F-4EBA-92A0-38FF520996DE}" name="MINERAL" dataDxfId="28"/>
    <tableColumn id="15" xr3:uid="{AC5CCA83-3A9A-467C-AC10-17416BDA94AA}" name="NYE" dataDxfId="27"/>
    <tableColumn id="18" xr3:uid="{1827F7C0-49F2-47F5-97D2-343D36C3553C}" name="PERSHING" dataDxfId="26"/>
    <tableColumn id="19" xr3:uid="{EBD383A9-9F93-4650-BDC2-C18AD0D54457}" name="STOREY" dataDxfId="25"/>
    <tableColumn id="20" xr3:uid="{85E84A39-89BB-4A45-A00B-A18ADB0285AB}" name="WASHOE" dataDxfId="24"/>
    <tableColumn id="21" xr3:uid="{CC1C0E5A-61BF-473E-A23F-81BE271364BB}" name="WHITE PINE" dataDxfId="23"/>
  </tableColumns>
  <tableStyleInfo name="TableStyleLight16" showFirstColumn="0" showLastColumn="0" showRowStripes="1" showColumnStripes="0"/>
  <extLst>
    <ext xmlns:x14="http://schemas.microsoft.com/office/spreadsheetml/2009/9/main" uri="{504A1905-F514-4f6f-8877-14C23A59335A}">
      <x14:table altText="State Revenue For County Fees " altTextSummary="Fiscal Year 2018 Fees and Taxes Paid to the State of Nevada. Table consists of 19 columns. The first column indicates the type of revenue. The second is the total. The remaining columns are Nevada counties: Carson City, Churchill, Clark, Douglas, Elko, Esmeralda, Eureka, Humboldt, Lander, Lincoln, Lyon, Mineral, Nye, Pershing, Storey, Washoe and White Pin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FA1D40-F3CC-486B-9882-68EE669BB0EF}" name="Table13" displayName="Table13" ref="A2:S51" totalsRowShown="0" headerRowDxfId="22" dataDxfId="20" headerRowBorderDxfId="21" tableBorderDxfId="19" headerRowCellStyle="Heading 1">
  <autoFilter ref="A2:S51" xr:uid="{6CAFB80F-3F77-4AF1-9988-C142D392C17A}"/>
  <tableColumns count="19">
    <tableColumn id="1" xr3:uid="{5727BAE8-A5D9-4B54-8CA4-8A8783FE9A4B}" name="TYPE OF REVENUE" dataDxfId="18"/>
    <tableColumn id="2" xr3:uid="{70DAB639-7136-4C9E-9381-1F5843151EAE}" name="TOTAL" dataDxfId="17">
      <calculatedColumnFormula>SUM(Table13[[#This Row],[CARSON CITY]:[WHITE PINE]])</calculatedColumnFormula>
    </tableColumn>
    <tableColumn id="3" xr3:uid="{F8A51670-5897-4F55-8A2E-87D8257807D3}" name="CARSON CITY" dataDxfId="16"/>
    <tableColumn id="4" xr3:uid="{9A8ECEE9-041C-485A-88B0-9CC0D59468D2}" name="CHURCHILL" dataDxfId="15"/>
    <tableColumn id="5" xr3:uid="{8F2D86FB-CC5F-49F2-9E4A-8C3BB62352EE}" name="CLARK" dataDxfId="14"/>
    <tableColumn id="6" xr3:uid="{A6378516-5AD4-40B4-9B5C-7B7B789B54BA}" name="DOUGLAS" dataDxfId="13"/>
    <tableColumn id="7" xr3:uid="{3928B6E2-F503-4055-87DB-88D476EF1821}" name="ELKO" dataDxfId="12"/>
    <tableColumn id="9" xr3:uid="{9ED4E93A-AF31-43D4-8C09-63D943958572}" name="ESMERALDA" dataDxfId="11"/>
    <tableColumn id="10" xr3:uid="{1D6679B2-7106-4616-ADAC-9E783C916D90}" name="EUREKA" dataDxfId="10"/>
    <tableColumn id="11" xr3:uid="{9D81F647-F3C2-473D-A889-9717EC295A61}" name="HUMBOLDT" dataDxfId="9"/>
    <tableColumn id="12" xr3:uid="{B95A2965-4718-4C31-B203-F7775D23D7DA}" name="LANDER" dataDxfId="8"/>
    <tableColumn id="13" xr3:uid="{E5A9E19D-06C2-4E7F-B3EB-EE0423B39345}" name="LINCOLN" dataDxfId="7"/>
    <tableColumn id="14" xr3:uid="{0F0219CD-F478-4176-82CF-F9FC0F77BD88}" name="LYON" dataDxfId="6"/>
    <tableColumn id="8" xr3:uid="{343891A2-7992-430B-A7BD-7088AD0C996E}" name="MINERAL" dataDxfId="5"/>
    <tableColumn id="15" xr3:uid="{AADB8895-AB22-4535-8C47-245838C14B77}" name="NYE" dataDxfId="4"/>
    <tableColumn id="18" xr3:uid="{57E52642-2CE5-4E3A-AE4B-F2C0D033D1C3}" name="PERSHING" dataDxfId="3"/>
    <tableColumn id="19" xr3:uid="{E773F97D-AE4E-40BF-910A-3FF36639A19D}" name="STOREY" dataDxfId="2"/>
    <tableColumn id="20" xr3:uid="{D5D4FB87-A97B-4D64-9CEA-A4730C134E9A}" name="WASHOE" dataDxfId="1"/>
    <tableColumn id="21" xr3:uid="{EAD32857-A9D8-4C5B-A00A-3B5FE6911110}" name="WHITE PINE" dataDxfId="0"/>
  </tableColumns>
  <tableStyleInfo name="TableStyleLight16" showFirstColumn="0" showLastColumn="0" showRowStripes="1" showColumnStripes="0"/>
  <extLst>
    <ext xmlns:x14="http://schemas.microsoft.com/office/spreadsheetml/2009/9/main" uri="{504A1905-F514-4f6f-8877-14C23A59335A}">
      <x14:table altText="State Revenue For County Fees " altTextSummary="Fiscal Year 2018 Fees and Taxes Paid to the State of Nevada. Table consists of 19 columns. The first column indicates the type of revenue. The second is the total. The remaining columns are Nevada counties: Carson City, Churchill, Clark, Douglas, Elko, Esmeralda, Eureka, Humboldt, Lander, Lincoln, Lyon, Mineral, Nye, Pershing, Storey, Washoe and White Pin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003F-8CC0-4BE0-BA13-4750E44C7FE7}">
  <sheetPr codeName="Sheet2"/>
  <dimension ref="A1:U93"/>
  <sheetViews>
    <sheetView zoomScale="130" zoomScaleNormal="130" workbookViewId="0">
      <selection sqref="A1:XFD1048576"/>
    </sheetView>
  </sheetViews>
  <sheetFormatPr defaultColWidth="8.7109375" defaultRowHeight="12.75" x14ac:dyDescent="0.2"/>
  <cols>
    <col min="1" max="1" width="48.5703125" style="1" customWidth="1"/>
    <col min="2" max="19" width="17.5703125" style="1" customWidth="1"/>
    <col min="20" max="20" width="8.7109375" style="1"/>
    <col min="21" max="21" width="12.140625" style="1" bestFit="1" customWidth="1"/>
    <col min="22" max="16384" width="8.7109375" style="1"/>
  </cols>
  <sheetData>
    <row r="1" spans="1:20" ht="24" customHeight="1" thickBot="1" x14ac:dyDescent="0.4">
      <c r="A1" s="10" t="s">
        <v>56</v>
      </c>
    </row>
    <row r="2" spans="1:20" s="17" customFormat="1" ht="14.25" thickTop="1" thickBot="1" x14ac:dyDescent="0.25">
      <c r="A2" s="16" t="s">
        <v>0</v>
      </c>
      <c r="B2" s="17" t="s">
        <v>16</v>
      </c>
      <c r="C2" s="18" t="s">
        <v>1</v>
      </c>
      <c r="D2" s="18" t="s">
        <v>2</v>
      </c>
      <c r="E2" s="18" t="s">
        <v>3</v>
      </c>
      <c r="F2" s="18" t="s">
        <v>4</v>
      </c>
      <c r="G2" s="18" t="s">
        <v>5</v>
      </c>
      <c r="H2" s="18" t="s">
        <v>6</v>
      </c>
      <c r="I2" s="18" t="s">
        <v>7</v>
      </c>
      <c r="J2" s="18" t="s">
        <v>8</v>
      </c>
      <c r="K2" s="18" t="s">
        <v>9</v>
      </c>
      <c r="L2" s="18" t="s">
        <v>10</v>
      </c>
      <c r="M2" s="18" t="s">
        <v>11</v>
      </c>
      <c r="N2" s="18" t="s">
        <v>64</v>
      </c>
      <c r="O2" s="18" t="s">
        <v>65</v>
      </c>
      <c r="P2" s="18" t="s">
        <v>12</v>
      </c>
      <c r="Q2" s="18" t="s">
        <v>13</v>
      </c>
      <c r="R2" s="18" t="s">
        <v>14</v>
      </c>
      <c r="S2" s="18" t="s">
        <v>15</v>
      </c>
    </row>
    <row r="3" spans="1:20" ht="13.5" thickTop="1" x14ac:dyDescent="0.2">
      <c r="A3" s="1" t="s">
        <v>31</v>
      </c>
      <c r="B3" s="3">
        <f>SUM(Table1[[#This Row],[CARSON CITY]:[WHITE PINE]])</f>
        <v>107382.03</v>
      </c>
      <c r="C3" s="4">
        <v>2594</v>
      </c>
      <c r="D3" s="4">
        <v>624</v>
      </c>
      <c r="E3" s="4">
        <v>84849</v>
      </c>
      <c r="F3" s="4">
        <v>843</v>
      </c>
      <c r="G3" s="4">
        <v>1407</v>
      </c>
      <c r="H3" s="4">
        <v>16</v>
      </c>
      <c r="I3" s="4">
        <v>12</v>
      </c>
      <c r="J3" s="4">
        <v>676</v>
      </c>
      <c r="K3" s="4">
        <v>230</v>
      </c>
      <c r="L3" s="4">
        <v>38</v>
      </c>
      <c r="M3" s="4">
        <v>2059</v>
      </c>
      <c r="N3" s="4">
        <v>101.72</v>
      </c>
      <c r="O3" s="4">
        <v>830</v>
      </c>
      <c r="P3" s="4">
        <v>216</v>
      </c>
      <c r="Q3" s="4">
        <v>185.5</v>
      </c>
      <c r="R3" s="4">
        <v>12529.81</v>
      </c>
      <c r="S3" s="4">
        <v>171</v>
      </c>
    </row>
    <row r="4" spans="1:20" x14ac:dyDescent="0.2">
      <c r="A4" s="1" t="s">
        <v>36</v>
      </c>
      <c r="B4" s="3">
        <f>SUM(Table1[[#This Row],[CARSON CITY]:[WHITE PINE]])</f>
        <v>102236311.21999998</v>
      </c>
      <c r="C4" s="4">
        <v>1215464.1599999999</v>
      </c>
      <c r="D4" s="4">
        <v>441063.94</v>
      </c>
      <c r="E4" s="4">
        <v>75930278.219999999</v>
      </c>
      <c r="F4" s="4">
        <v>2458797.08</v>
      </c>
      <c r="G4" s="4">
        <v>960039.36</v>
      </c>
      <c r="H4" s="4">
        <v>17285.740000000002</v>
      </c>
      <c r="I4" s="4">
        <v>21234.25</v>
      </c>
      <c r="J4" s="4">
        <v>275788.71000000002</v>
      </c>
      <c r="K4" s="4">
        <v>58854.51</v>
      </c>
      <c r="L4" s="4">
        <v>50122.239999999998</v>
      </c>
      <c r="M4" s="4">
        <v>1794941.09</v>
      </c>
      <c r="N4" s="4">
        <v>48913.22</v>
      </c>
      <c r="O4" s="4">
        <v>2200002.5600000001</v>
      </c>
      <c r="P4" s="4">
        <v>133142.70000000001</v>
      </c>
      <c r="Q4" s="4">
        <v>301150.07</v>
      </c>
      <c r="R4" s="4">
        <v>16197160.08</v>
      </c>
      <c r="S4" s="4">
        <v>132073.29</v>
      </c>
    </row>
    <row r="5" spans="1:20" x14ac:dyDescent="0.2">
      <c r="A5" s="1" t="s">
        <v>29</v>
      </c>
      <c r="B5" s="3">
        <f>SUM(Table1[[#This Row],[CARSON CITY]:[WHITE PINE]])</f>
        <v>43184111.169999994</v>
      </c>
      <c r="C5" s="4">
        <v>520460.6</v>
      </c>
      <c r="D5" s="4">
        <v>188488.85</v>
      </c>
      <c r="E5" s="4">
        <v>32451151.379999999</v>
      </c>
      <c r="F5" s="4">
        <v>1050767.8500000001</v>
      </c>
      <c r="G5" s="4">
        <v>410163.6</v>
      </c>
      <c r="H5" s="4">
        <v>7425</v>
      </c>
      <c r="I5" s="4">
        <v>9074.4500000000007</v>
      </c>
      <c r="J5" s="4">
        <v>117858.4</v>
      </c>
      <c r="K5" s="4">
        <v>25151.5</v>
      </c>
      <c r="L5" s="4">
        <v>21419.74</v>
      </c>
      <c r="M5" s="4">
        <v>767072.55</v>
      </c>
      <c r="N5" s="4">
        <v>10436.25</v>
      </c>
      <c r="O5" s="4">
        <v>470086.65</v>
      </c>
      <c r="P5" s="4">
        <v>28449.3</v>
      </c>
      <c r="Q5" s="4">
        <v>127799.65</v>
      </c>
      <c r="R5" s="4">
        <v>6921863.8499999996</v>
      </c>
      <c r="S5" s="4">
        <v>56441.55</v>
      </c>
    </row>
    <row r="6" spans="1:20" x14ac:dyDescent="0.2">
      <c r="A6" s="1" t="s">
        <v>30</v>
      </c>
      <c r="B6" s="3">
        <f>SUM(Table1[[#This Row],[CARSON CITY]:[WHITE PINE]])</f>
        <v>7848881.5300000003</v>
      </c>
      <c r="C6" s="4">
        <v>94629.2</v>
      </c>
      <c r="D6" s="4">
        <v>34270.699999999997</v>
      </c>
      <c r="E6" s="4">
        <v>5897474</v>
      </c>
      <c r="F6" s="4">
        <v>191048.7</v>
      </c>
      <c r="G6" s="4">
        <v>74575.199999999997</v>
      </c>
      <c r="H6" s="4">
        <v>1350</v>
      </c>
      <c r="I6" s="4">
        <v>1649.9</v>
      </c>
      <c r="J6" s="4">
        <v>21428.799999999999</v>
      </c>
      <c r="K6" s="4">
        <v>4573</v>
      </c>
      <c r="L6" s="4">
        <v>3894.49</v>
      </c>
      <c r="M6" s="4">
        <v>139428.04</v>
      </c>
      <c r="N6" s="4">
        <v>1897.5</v>
      </c>
      <c r="O6" s="4">
        <v>85470.3</v>
      </c>
      <c r="P6" s="4">
        <v>5172.6000000000004</v>
      </c>
      <c r="Q6" s="4">
        <v>23236.3</v>
      </c>
      <c r="R6" s="4">
        <v>1258520.7</v>
      </c>
      <c r="S6" s="4">
        <v>10262.1</v>
      </c>
    </row>
    <row r="7" spans="1:20" x14ac:dyDescent="0.2">
      <c r="A7" s="1" t="s">
        <v>40</v>
      </c>
      <c r="B7" s="3">
        <f>SUM(Table1[[#This Row],[CARSON CITY]:[WHITE PINE]])</f>
        <v>1292791.3999999999</v>
      </c>
      <c r="C7" s="4">
        <v>0</v>
      </c>
      <c r="D7" s="4">
        <v>34270.699999999997</v>
      </c>
      <c r="E7" s="4">
        <v>0</v>
      </c>
      <c r="F7" s="4">
        <v>0</v>
      </c>
      <c r="G7" s="4">
        <v>0</v>
      </c>
      <c r="H7" s="4">
        <v>0</v>
      </c>
      <c r="I7" s="4">
        <v>0</v>
      </c>
      <c r="J7" s="4">
        <v>0</v>
      </c>
      <c r="K7" s="4">
        <v>0</v>
      </c>
      <c r="L7" s="4">
        <v>0</v>
      </c>
      <c r="M7" s="4">
        <v>0</v>
      </c>
      <c r="N7" s="4">
        <v>0</v>
      </c>
      <c r="O7" s="4">
        <v>0</v>
      </c>
      <c r="P7" s="4">
        <v>0</v>
      </c>
      <c r="Q7" s="4">
        <v>0</v>
      </c>
      <c r="R7" s="4">
        <v>1258520.7</v>
      </c>
      <c r="S7" s="4">
        <v>0</v>
      </c>
    </row>
    <row r="8" spans="1:20" x14ac:dyDescent="0.2">
      <c r="A8" s="1" t="s">
        <v>41</v>
      </c>
      <c r="B8" s="3">
        <f>SUM(Table1[[#This Row],[CARSON CITY]:[WHITE PINE]])</f>
        <v>4250565.88</v>
      </c>
      <c r="C8" s="4">
        <v>0</v>
      </c>
      <c r="D8" s="4">
        <v>162217.70000000001</v>
      </c>
      <c r="E8" s="4">
        <v>0</v>
      </c>
      <c r="F8" s="4">
        <v>0</v>
      </c>
      <c r="G8" s="4">
        <v>0</v>
      </c>
      <c r="H8" s="4">
        <v>0</v>
      </c>
      <c r="I8" s="4">
        <v>0</v>
      </c>
      <c r="J8" s="4">
        <v>0</v>
      </c>
      <c r="K8" s="4">
        <v>0</v>
      </c>
      <c r="L8" s="4">
        <v>0</v>
      </c>
      <c r="M8" s="4">
        <v>0</v>
      </c>
      <c r="N8" s="4">
        <v>0</v>
      </c>
      <c r="O8" s="4">
        <v>0</v>
      </c>
      <c r="P8" s="4">
        <v>0</v>
      </c>
      <c r="Q8" s="4">
        <v>0</v>
      </c>
      <c r="R8" s="4">
        <v>4088348.18</v>
      </c>
      <c r="S8" s="4">
        <v>0</v>
      </c>
    </row>
    <row r="9" spans="1:20" x14ac:dyDescent="0.2">
      <c r="A9" s="1" t="s">
        <v>18</v>
      </c>
      <c r="B9" s="3">
        <f>SUM(Table1[[#This Row],[CARSON CITY]:[WHITE PINE]])</f>
        <v>2753112.94</v>
      </c>
      <c r="C9" s="4">
        <v>7628.54</v>
      </c>
      <c r="D9" s="4">
        <v>2093.62</v>
      </c>
      <c r="E9" s="4">
        <v>1280995.8</v>
      </c>
      <c r="F9" s="4">
        <v>15396.24</v>
      </c>
      <c r="G9" s="4">
        <v>253928.8</v>
      </c>
      <c r="H9" s="4">
        <v>7419.51</v>
      </c>
      <c r="I9" s="4">
        <v>292599.48</v>
      </c>
      <c r="J9" s="4">
        <v>245842.12</v>
      </c>
      <c r="K9" s="4">
        <v>151451.89000000001</v>
      </c>
      <c r="L9" s="4">
        <v>59704.56</v>
      </c>
      <c r="M9" s="4">
        <v>192086.8</v>
      </c>
      <c r="N9" s="4">
        <v>0</v>
      </c>
      <c r="O9" s="4">
        <v>86361.8</v>
      </c>
      <c r="P9" s="4">
        <v>102116.2</v>
      </c>
      <c r="Q9" s="4">
        <v>0</v>
      </c>
      <c r="R9" s="4">
        <v>34985.730000000003</v>
      </c>
      <c r="S9" s="4">
        <v>20501.849999999999</v>
      </c>
    </row>
    <row r="10" spans="1:20" x14ac:dyDescent="0.2">
      <c r="A10" s="1" t="s">
        <v>19</v>
      </c>
      <c r="B10" s="3">
        <f>SUM(Table1[[#This Row],[CARSON CITY]:[WHITE PINE]])</f>
        <v>331666</v>
      </c>
      <c r="C10" s="4">
        <v>2176</v>
      </c>
      <c r="D10" s="4">
        <v>732</v>
      </c>
      <c r="E10" s="4">
        <v>294028</v>
      </c>
      <c r="F10" s="4">
        <v>2728</v>
      </c>
      <c r="G10" s="4">
        <v>1764</v>
      </c>
      <c r="H10" s="4">
        <v>24</v>
      </c>
      <c r="I10" s="4">
        <v>58</v>
      </c>
      <c r="J10" s="4">
        <v>420</v>
      </c>
      <c r="K10" s="4">
        <v>156</v>
      </c>
      <c r="L10" s="4">
        <v>88</v>
      </c>
      <c r="M10" s="4">
        <v>312</v>
      </c>
      <c r="N10" s="4">
        <v>80</v>
      </c>
      <c r="O10" s="4">
        <v>916</v>
      </c>
      <c r="P10" s="4">
        <v>124</v>
      </c>
      <c r="Q10" s="4">
        <v>480</v>
      </c>
      <c r="R10" s="4">
        <v>27348</v>
      </c>
      <c r="S10" s="4">
        <v>232</v>
      </c>
    </row>
    <row r="11" spans="1:20" x14ac:dyDescent="0.2">
      <c r="A11" s="1" t="s">
        <v>20</v>
      </c>
      <c r="B11" s="3">
        <f>SUM(Table1[[#This Row],[CARSON CITY]:[WHITE PINE]])</f>
        <v>1286606.8</v>
      </c>
      <c r="C11" s="4">
        <v>14208</v>
      </c>
      <c r="D11" s="4">
        <v>21408</v>
      </c>
      <c r="E11" s="4">
        <v>1025030.56</v>
      </c>
      <c r="F11" s="4">
        <v>20906.150000000001</v>
      </c>
      <c r="G11" s="4">
        <v>12832</v>
      </c>
      <c r="H11" s="4">
        <v>736</v>
      </c>
      <c r="I11" s="4">
        <v>512</v>
      </c>
      <c r="J11" s="4">
        <v>9568</v>
      </c>
      <c r="K11" s="4">
        <v>480</v>
      </c>
      <c r="L11" s="4">
        <v>1440</v>
      </c>
      <c r="M11" s="4">
        <v>18062.09</v>
      </c>
      <c r="N11" s="4">
        <v>1408</v>
      </c>
      <c r="O11" s="4">
        <v>20832</v>
      </c>
      <c r="P11" s="4">
        <v>1952</v>
      </c>
      <c r="Q11" s="4">
        <v>1600</v>
      </c>
      <c r="R11" s="4">
        <v>130912</v>
      </c>
      <c r="S11" s="4">
        <v>4720</v>
      </c>
    </row>
    <row r="12" spans="1:20" x14ac:dyDescent="0.2">
      <c r="A12" s="1" t="s">
        <v>32</v>
      </c>
      <c r="B12" s="3">
        <f>SUM(Table1[[#This Row],[CARSON CITY]:[WHITE PINE]])</f>
        <v>3510.75</v>
      </c>
      <c r="C12" s="4">
        <v>0</v>
      </c>
      <c r="D12" s="4">
        <v>0</v>
      </c>
      <c r="E12" s="4">
        <v>0</v>
      </c>
      <c r="F12" s="4">
        <v>0</v>
      </c>
      <c r="G12" s="4">
        <v>0</v>
      </c>
      <c r="H12" s="4">
        <v>503.88</v>
      </c>
      <c r="I12" s="4">
        <v>0</v>
      </c>
      <c r="J12" s="4">
        <v>0</v>
      </c>
      <c r="K12" s="4">
        <v>0</v>
      </c>
      <c r="L12" s="4">
        <v>0</v>
      </c>
      <c r="M12" s="4">
        <v>3006.87</v>
      </c>
      <c r="N12" s="4">
        <v>0</v>
      </c>
      <c r="O12" s="4">
        <v>0</v>
      </c>
      <c r="P12" s="4">
        <v>0</v>
      </c>
      <c r="Q12" s="4">
        <v>0</v>
      </c>
      <c r="R12" s="4">
        <v>0</v>
      </c>
      <c r="S12" s="4">
        <v>0</v>
      </c>
      <c r="T12" s="4"/>
    </row>
    <row r="13" spans="1:20" x14ac:dyDescent="0.2">
      <c r="A13" s="1" t="s">
        <v>17</v>
      </c>
      <c r="B13" s="3">
        <f>SUM(Table1[[#This Row],[CARSON CITY]:[WHITE PINE]])</f>
        <v>420295.63</v>
      </c>
      <c r="C13" s="4">
        <v>8760</v>
      </c>
      <c r="D13" s="4">
        <v>15510</v>
      </c>
      <c r="E13" s="4">
        <v>309522.53000000003</v>
      </c>
      <c r="F13" s="4">
        <v>8459.1</v>
      </c>
      <c r="G13" s="4">
        <v>3990</v>
      </c>
      <c r="H13" s="4">
        <v>60</v>
      </c>
      <c r="I13" s="4">
        <v>276</v>
      </c>
      <c r="J13" s="4">
        <v>5880</v>
      </c>
      <c r="K13" s="4">
        <v>1461</v>
      </c>
      <c r="L13" s="4">
        <v>600</v>
      </c>
      <c r="M13" s="4">
        <v>6360</v>
      </c>
      <c r="N13" s="4">
        <v>520</v>
      </c>
      <c r="O13" s="4">
        <v>9840</v>
      </c>
      <c r="P13" s="4">
        <v>260</v>
      </c>
      <c r="Q13" s="4">
        <v>480</v>
      </c>
      <c r="R13" s="4">
        <v>46937</v>
      </c>
      <c r="S13" s="4">
        <v>1380</v>
      </c>
    </row>
    <row r="14" spans="1:20" x14ac:dyDescent="0.2">
      <c r="A14" s="1" t="s">
        <v>21</v>
      </c>
      <c r="B14" s="3">
        <f>SUM(Table1[[#This Row],[CARSON CITY]:[WHITE PINE]])</f>
        <v>16759455.99</v>
      </c>
      <c r="C14" s="4">
        <v>115342.75</v>
      </c>
      <c r="D14" s="4">
        <v>244614.68</v>
      </c>
      <c r="E14" s="4">
        <v>12484789.15</v>
      </c>
      <c r="F14" s="4">
        <v>128591.35</v>
      </c>
      <c r="G14" s="4">
        <v>336986.17</v>
      </c>
      <c r="H14" s="4">
        <v>8711.26</v>
      </c>
      <c r="I14" s="4">
        <v>93876.13</v>
      </c>
      <c r="J14" s="4">
        <v>176309.34</v>
      </c>
      <c r="K14" s="4">
        <v>462783.66</v>
      </c>
      <c r="L14" s="4">
        <v>12366.33</v>
      </c>
      <c r="M14" s="4">
        <v>159223.32999999999</v>
      </c>
      <c r="N14" s="4">
        <v>114528.11</v>
      </c>
      <c r="O14" s="4">
        <v>540156.43999999994</v>
      </c>
      <c r="P14" s="4">
        <v>98586.33</v>
      </c>
      <c r="Q14" s="4">
        <v>220914.38</v>
      </c>
      <c r="R14" s="4">
        <v>1384068.69</v>
      </c>
      <c r="S14" s="4">
        <v>177607.89</v>
      </c>
    </row>
    <row r="15" spans="1:20" x14ac:dyDescent="0.2">
      <c r="A15" s="1" t="s">
        <v>22</v>
      </c>
      <c r="B15" s="3">
        <f>SUM(Table1[[#This Row],[CARSON CITY]:[WHITE PINE]])</f>
        <v>138496344.42000002</v>
      </c>
      <c r="C15" s="4">
        <v>2158920.9700000002</v>
      </c>
      <c r="D15" s="4">
        <v>811510.94</v>
      </c>
      <c r="E15" s="4">
        <v>98021849.290000007</v>
      </c>
      <c r="F15" s="4">
        <v>4624503.63</v>
      </c>
      <c r="G15" s="4">
        <v>2113457.9300000002</v>
      </c>
      <c r="H15" s="4">
        <v>53201.75</v>
      </c>
      <c r="I15" s="4">
        <v>1150290.72</v>
      </c>
      <c r="J15" s="4">
        <v>947756.47</v>
      </c>
      <c r="K15" s="4">
        <v>370206.19</v>
      </c>
      <c r="L15" s="4">
        <v>257137.83</v>
      </c>
      <c r="M15" s="4">
        <v>1935579.57</v>
      </c>
      <c r="N15" s="4">
        <v>97182.81</v>
      </c>
      <c r="O15" s="4">
        <v>1738195.42</v>
      </c>
      <c r="P15" s="4">
        <v>175285.48</v>
      </c>
      <c r="Q15" s="4">
        <v>644944.15</v>
      </c>
      <c r="R15" s="4">
        <v>23120076.649999999</v>
      </c>
      <c r="S15" s="4">
        <v>276244.62</v>
      </c>
    </row>
    <row r="16" spans="1:20" x14ac:dyDescent="0.2">
      <c r="A16" s="1" t="s">
        <v>38</v>
      </c>
      <c r="B16" s="3">
        <f>SUM(Table1[[#This Row],[CARSON CITY]:[WHITE PINE]])</f>
        <v>9288571.8699999992</v>
      </c>
      <c r="C16" s="4">
        <v>134247</v>
      </c>
      <c r="D16" s="4">
        <v>47051.92</v>
      </c>
      <c r="E16" s="4">
        <v>6381189</v>
      </c>
      <c r="F16" s="4">
        <v>250000</v>
      </c>
      <c r="G16" s="4">
        <v>204289.63</v>
      </c>
      <c r="H16" s="4">
        <v>7233.4</v>
      </c>
      <c r="I16" s="4">
        <v>140718</v>
      </c>
      <c r="J16" s="4">
        <v>130642.93</v>
      </c>
      <c r="K16" s="4">
        <v>144493.12</v>
      </c>
      <c r="L16" s="4">
        <v>21082.42</v>
      </c>
      <c r="M16" s="4">
        <v>111373.39</v>
      </c>
      <c r="N16" s="4">
        <v>15231.29</v>
      </c>
      <c r="O16" s="4">
        <v>150000</v>
      </c>
      <c r="P16" s="4">
        <v>29294.49</v>
      </c>
      <c r="Q16" s="4">
        <v>11520</v>
      </c>
      <c r="R16" s="4">
        <v>1477592.28</v>
      </c>
      <c r="S16" s="4">
        <v>32613</v>
      </c>
    </row>
    <row r="17" spans="1:19" x14ac:dyDescent="0.2">
      <c r="A17" s="1" t="s">
        <v>23</v>
      </c>
      <c r="B17" s="3">
        <f>SUM(Table1[[#This Row],[CARSON CITY]:[WHITE PINE]])</f>
        <v>14222766.289999999</v>
      </c>
      <c r="C17" s="4">
        <v>219859.7</v>
      </c>
      <c r="D17" s="4">
        <v>111106.21</v>
      </c>
      <c r="E17" s="4">
        <v>9733568</v>
      </c>
      <c r="F17" s="4">
        <v>424931.49</v>
      </c>
      <c r="G17" s="4">
        <v>306656.94</v>
      </c>
      <c r="H17" s="4">
        <v>8277.52</v>
      </c>
      <c r="I17" s="4">
        <v>175200.9</v>
      </c>
      <c r="J17" s="4">
        <v>195963.42</v>
      </c>
      <c r="K17" s="4">
        <v>216715</v>
      </c>
      <c r="L17" s="4">
        <v>31622.49</v>
      </c>
      <c r="M17" s="4">
        <v>167060.1</v>
      </c>
      <c r="N17" s="4">
        <v>22846.94</v>
      </c>
      <c r="O17" s="4">
        <v>180873.35</v>
      </c>
      <c r="P17" s="4">
        <v>41710.160000000003</v>
      </c>
      <c r="Q17" s="4">
        <v>90718.12</v>
      </c>
      <c r="R17" s="4">
        <v>2214255.15</v>
      </c>
      <c r="S17" s="4">
        <v>81400.800000000003</v>
      </c>
    </row>
    <row r="18" spans="1:19" x14ac:dyDescent="0.2">
      <c r="A18" s="1" t="s">
        <v>42</v>
      </c>
      <c r="B18" s="3">
        <f>SUM(Table1[[#This Row],[CARSON CITY]:[WHITE PINE]])</f>
        <v>20549176.550000001</v>
      </c>
      <c r="C18" s="4">
        <v>0</v>
      </c>
      <c r="D18" s="4">
        <v>0</v>
      </c>
      <c r="E18" s="4">
        <v>16160683.560000001</v>
      </c>
      <c r="F18" s="4">
        <v>0</v>
      </c>
      <c r="G18" s="4">
        <v>0</v>
      </c>
      <c r="H18" s="4">
        <v>0</v>
      </c>
      <c r="I18" s="4">
        <v>0</v>
      </c>
      <c r="J18" s="4">
        <v>0</v>
      </c>
      <c r="K18" s="4">
        <v>0</v>
      </c>
      <c r="L18" s="4">
        <v>0</v>
      </c>
      <c r="M18" s="4">
        <v>0</v>
      </c>
      <c r="N18" s="4">
        <v>0</v>
      </c>
      <c r="O18" s="4">
        <v>0</v>
      </c>
      <c r="P18" s="4">
        <v>0</v>
      </c>
      <c r="Q18" s="4">
        <v>0</v>
      </c>
      <c r="R18" s="4">
        <v>4388492.99</v>
      </c>
      <c r="S18" s="4">
        <v>0</v>
      </c>
    </row>
    <row r="19" spans="1:19" x14ac:dyDescent="0.2">
      <c r="A19" s="1" t="s">
        <v>43</v>
      </c>
      <c r="B19" s="3">
        <f>SUM(Table1[[#This Row],[CARSON CITY]:[WHITE PINE]])</f>
        <v>8213.380000000001</v>
      </c>
      <c r="C19" s="4">
        <v>0</v>
      </c>
      <c r="D19" s="4">
        <v>0</v>
      </c>
      <c r="E19" s="4">
        <v>0</v>
      </c>
      <c r="F19" s="4">
        <v>0</v>
      </c>
      <c r="G19" s="4">
        <v>0</v>
      </c>
      <c r="H19" s="4">
        <v>0</v>
      </c>
      <c r="I19" s="4">
        <v>0</v>
      </c>
      <c r="J19" s="4">
        <v>147.9</v>
      </c>
      <c r="K19" s="4">
        <v>0</v>
      </c>
      <c r="L19" s="4">
        <v>0</v>
      </c>
      <c r="M19" s="4">
        <v>0</v>
      </c>
      <c r="N19" s="4">
        <v>0</v>
      </c>
      <c r="O19" s="4">
        <v>961.98</v>
      </c>
      <c r="P19" s="4">
        <v>0</v>
      </c>
      <c r="Q19" s="4">
        <v>0</v>
      </c>
      <c r="R19" s="4">
        <v>7103.5</v>
      </c>
      <c r="S19" s="4">
        <v>0</v>
      </c>
    </row>
    <row r="20" spans="1:19" x14ac:dyDescent="0.2">
      <c r="A20" s="1" t="s">
        <v>44</v>
      </c>
      <c r="B20" s="3">
        <f>SUM(Table1[[#This Row],[CARSON CITY]:[WHITE PINE]])</f>
        <v>4388492.99</v>
      </c>
      <c r="C20" s="4">
        <v>0</v>
      </c>
      <c r="D20" s="4">
        <v>0</v>
      </c>
      <c r="E20" s="4">
        <v>0</v>
      </c>
      <c r="F20" s="4">
        <v>0</v>
      </c>
      <c r="G20" s="4">
        <v>0</v>
      </c>
      <c r="H20" s="4">
        <v>0</v>
      </c>
      <c r="I20" s="4">
        <v>0</v>
      </c>
      <c r="J20" s="4">
        <v>0</v>
      </c>
      <c r="K20" s="4">
        <v>0</v>
      </c>
      <c r="L20" s="4">
        <v>0</v>
      </c>
      <c r="M20" s="4">
        <v>0</v>
      </c>
      <c r="N20" s="4">
        <v>0</v>
      </c>
      <c r="O20" s="4">
        <v>0</v>
      </c>
      <c r="P20" s="4">
        <v>0</v>
      </c>
      <c r="Q20" s="4">
        <v>0</v>
      </c>
      <c r="R20" s="4">
        <v>4388492.99</v>
      </c>
      <c r="S20" s="4">
        <v>0</v>
      </c>
    </row>
    <row r="21" spans="1:19" x14ac:dyDescent="0.2">
      <c r="A21" s="1" t="s">
        <v>62</v>
      </c>
      <c r="B21" s="3">
        <f>SUM(Table1[[#This Row],[CARSON CITY]:[WHITE PINE]])</f>
        <v>0</v>
      </c>
      <c r="C21" s="4">
        <v>0</v>
      </c>
      <c r="D21" s="4">
        <v>0</v>
      </c>
      <c r="E21" s="4">
        <v>0</v>
      </c>
      <c r="F21" s="4">
        <v>0</v>
      </c>
      <c r="G21" s="4">
        <v>0</v>
      </c>
      <c r="H21" s="4">
        <v>0</v>
      </c>
      <c r="I21" s="4">
        <v>0</v>
      </c>
      <c r="J21" s="4">
        <v>0</v>
      </c>
      <c r="K21" s="4">
        <v>0</v>
      </c>
      <c r="L21" s="4">
        <v>0</v>
      </c>
      <c r="M21" s="4">
        <v>0</v>
      </c>
      <c r="N21" s="4">
        <v>0</v>
      </c>
      <c r="O21" s="4">
        <v>0</v>
      </c>
      <c r="P21" s="4">
        <v>0</v>
      </c>
      <c r="Q21" s="4">
        <v>0</v>
      </c>
      <c r="R21" s="4">
        <v>0</v>
      </c>
      <c r="S21" s="4">
        <v>0</v>
      </c>
    </row>
    <row r="22" spans="1:19" x14ac:dyDescent="0.2">
      <c r="A22" s="1" t="s">
        <v>24</v>
      </c>
      <c r="B22" s="3">
        <f>SUM(Table1[[#This Row],[CARSON CITY]:[WHITE PINE]])</f>
        <v>65752.97</v>
      </c>
      <c r="C22" s="4">
        <v>2509</v>
      </c>
      <c r="D22" s="4">
        <v>1914.74</v>
      </c>
      <c r="E22" s="4">
        <v>29922.68</v>
      </c>
      <c r="F22" s="4">
        <v>1396.4</v>
      </c>
      <c r="G22" s="4">
        <v>2330.6799999999998</v>
      </c>
      <c r="H22" s="4">
        <v>6710</v>
      </c>
      <c r="I22" s="4">
        <v>80</v>
      </c>
      <c r="J22" s="4">
        <v>780</v>
      </c>
      <c r="K22" s="4">
        <v>330</v>
      </c>
      <c r="L22" s="4">
        <v>546</v>
      </c>
      <c r="M22" s="4">
        <v>1899.26</v>
      </c>
      <c r="N22" s="4">
        <v>731.75</v>
      </c>
      <c r="O22" s="4">
        <v>2403</v>
      </c>
      <c r="P22" s="4">
        <v>672</v>
      </c>
      <c r="Q22" s="4">
        <v>20</v>
      </c>
      <c r="R22" s="4">
        <v>12582.46</v>
      </c>
      <c r="S22" s="4">
        <v>925</v>
      </c>
    </row>
    <row r="23" spans="1:19" x14ac:dyDescent="0.2">
      <c r="A23" s="1" t="s">
        <v>45</v>
      </c>
      <c r="B23" s="3">
        <f>SUM(Table1[[#This Row],[CARSON CITY]:[WHITE PINE]])</f>
        <v>62549.25</v>
      </c>
      <c r="C23" s="4">
        <v>1424</v>
      </c>
      <c r="D23" s="19">
        <f>495+1590</f>
        <v>2085</v>
      </c>
      <c r="E23" s="21">
        <f>700+615.66+9645+14148.47+900+6914+1065+245+12216.15+35</f>
        <v>46484.28</v>
      </c>
      <c r="F23" s="21">
        <f>315+525</f>
        <v>840</v>
      </c>
      <c r="G23" s="21">
        <f>115+175+630+60</f>
        <v>980</v>
      </c>
      <c r="H23" s="4">
        <v>0</v>
      </c>
      <c r="I23" s="4">
        <v>0</v>
      </c>
      <c r="J23" s="4">
        <v>0</v>
      </c>
      <c r="K23" s="4">
        <v>158</v>
      </c>
      <c r="L23" s="4">
        <v>409</v>
      </c>
      <c r="M23" s="21">
        <f>385+120+300+15+44.68</f>
        <v>864.68</v>
      </c>
      <c r="N23" s="21">
        <f>140+125</f>
        <v>265</v>
      </c>
      <c r="O23" s="21">
        <f>105+850</f>
        <v>955</v>
      </c>
      <c r="P23" s="4">
        <v>175</v>
      </c>
      <c r="Q23" s="4">
        <v>280</v>
      </c>
      <c r="R23" s="21">
        <f>1201.26+1385+4928.03</f>
        <v>7514.29</v>
      </c>
      <c r="S23" s="19">
        <v>115</v>
      </c>
    </row>
    <row r="24" spans="1:19" x14ac:dyDescent="0.2">
      <c r="A24" s="1" t="s">
        <v>25</v>
      </c>
      <c r="B24" s="3">
        <f>SUM(Table1[[#This Row],[CARSON CITY]:[WHITE PINE]])</f>
        <v>158760.26999999999</v>
      </c>
      <c r="C24" s="4">
        <v>13812</v>
      </c>
      <c r="D24" s="4">
        <v>5170</v>
      </c>
      <c r="E24" s="4">
        <v>106972.73</v>
      </c>
      <c r="F24" s="4">
        <v>2819.54</v>
      </c>
      <c r="G24" s="4">
        <v>1330</v>
      </c>
      <c r="H24" s="4">
        <v>30</v>
      </c>
      <c r="I24" s="4">
        <v>60</v>
      </c>
      <c r="J24" s="4">
        <v>1960</v>
      </c>
      <c r="K24" s="4">
        <v>4642</v>
      </c>
      <c r="L24" s="4">
        <v>200</v>
      </c>
      <c r="M24" s="4">
        <v>2120</v>
      </c>
      <c r="N24" s="4">
        <v>210</v>
      </c>
      <c r="O24" s="4">
        <v>3280</v>
      </c>
      <c r="P24" s="4">
        <v>160</v>
      </c>
      <c r="Q24" s="4">
        <v>170</v>
      </c>
      <c r="R24" s="4">
        <v>15824</v>
      </c>
      <c r="S24" s="4">
        <v>0</v>
      </c>
    </row>
    <row r="25" spans="1:19" x14ac:dyDescent="0.2">
      <c r="A25" s="1" t="s">
        <v>26</v>
      </c>
      <c r="B25" s="3">
        <f>SUM(Table1[[#This Row],[CARSON CITY]:[WHITE PINE]])</f>
        <v>3474801.4600000009</v>
      </c>
      <c r="C25" s="4">
        <v>30642</v>
      </c>
      <c r="D25" s="4">
        <v>59443.199999999997</v>
      </c>
      <c r="E25" s="4">
        <v>1904579.37</v>
      </c>
      <c r="F25" s="4">
        <v>12269</v>
      </c>
      <c r="G25" s="4">
        <v>113141.5</v>
      </c>
      <c r="H25" s="4">
        <v>80208</v>
      </c>
      <c r="I25" s="4">
        <v>4230</v>
      </c>
      <c r="J25" s="4">
        <v>0</v>
      </c>
      <c r="K25" s="4">
        <v>695</v>
      </c>
      <c r="L25" s="4">
        <v>6170</v>
      </c>
      <c r="M25" s="4">
        <v>65135.37</v>
      </c>
      <c r="N25" s="4">
        <v>1747.99</v>
      </c>
      <c r="O25" s="4">
        <v>379385.81</v>
      </c>
      <c r="P25" s="4">
        <v>1905</v>
      </c>
      <c r="Q25" s="4">
        <v>0</v>
      </c>
      <c r="R25" s="4">
        <v>807854.22</v>
      </c>
      <c r="S25" s="4">
        <v>7395</v>
      </c>
    </row>
    <row r="26" spans="1:19" x14ac:dyDescent="0.2">
      <c r="A26" s="1" t="s">
        <v>27</v>
      </c>
      <c r="B26" s="3">
        <f>SUM(Table1[[#This Row],[CARSON CITY]:[WHITE PINE]])</f>
        <v>572024.50000000012</v>
      </c>
      <c r="C26" s="4">
        <v>40414.97</v>
      </c>
      <c r="D26" s="4">
        <v>9734.42</v>
      </c>
      <c r="E26" s="4">
        <v>283023.52</v>
      </c>
      <c r="F26" s="4">
        <v>17191.89</v>
      </c>
      <c r="G26" s="4">
        <v>37597.53</v>
      </c>
      <c r="H26" s="4">
        <v>0</v>
      </c>
      <c r="I26" s="4">
        <v>0</v>
      </c>
      <c r="J26" s="4">
        <v>11235.52</v>
      </c>
      <c r="K26" s="4">
        <v>2922</v>
      </c>
      <c r="L26" s="4">
        <v>900</v>
      </c>
      <c r="M26" s="4">
        <v>5927.32</v>
      </c>
      <c r="N26" s="4">
        <v>5303.32</v>
      </c>
      <c r="O26" s="4">
        <v>15609.95</v>
      </c>
      <c r="P26" s="4">
        <v>19753.96</v>
      </c>
      <c r="Q26" s="4">
        <v>0</v>
      </c>
      <c r="R26" s="4">
        <v>111112.15</v>
      </c>
      <c r="S26" s="4">
        <v>11297.95</v>
      </c>
    </row>
    <row r="27" spans="1:19" x14ac:dyDescent="0.2">
      <c r="A27" s="1" t="s">
        <v>39</v>
      </c>
      <c r="B27" s="3">
        <f>SUM(Table1[[#This Row],[CARSON CITY]:[WHITE PINE]])</f>
        <v>4553.08</v>
      </c>
      <c r="C27" s="4">
        <v>500</v>
      </c>
      <c r="D27" s="4">
        <v>0</v>
      </c>
      <c r="E27" s="4">
        <v>250</v>
      </c>
      <c r="F27" s="4">
        <v>0</v>
      </c>
      <c r="G27" s="4">
        <v>3303.08</v>
      </c>
      <c r="H27" s="4">
        <v>0</v>
      </c>
      <c r="I27" s="4">
        <v>0</v>
      </c>
      <c r="J27" s="4">
        <v>0</v>
      </c>
      <c r="K27" s="4">
        <v>0</v>
      </c>
      <c r="L27" s="4">
        <v>0</v>
      </c>
      <c r="M27" s="4">
        <v>250</v>
      </c>
      <c r="N27" s="4">
        <v>0</v>
      </c>
      <c r="O27" s="4">
        <v>0</v>
      </c>
      <c r="P27" s="4">
        <v>0</v>
      </c>
      <c r="Q27" s="4">
        <v>0</v>
      </c>
      <c r="R27" s="4">
        <v>0</v>
      </c>
      <c r="S27" s="4">
        <v>250</v>
      </c>
    </row>
    <row r="28" spans="1:19" x14ac:dyDescent="0.2">
      <c r="A28" s="1" t="s">
        <v>58</v>
      </c>
      <c r="B28" s="3">
        <f>SUM(Table1[[#This Row],[CARSON CITY]:[WHITE PINE]])</f>
        <v>86504</v>
      </c>
      <c r="C28" s="4">
        <v>700</v>
      </c>
      <c r="D28" s="4">
        <v>30</v>
      </c>
      <c r="E28" s="4">
        <v>76879.5</v>
      </c>
      <c r="F28" s="4">
        <v>550</v>
      </c>
      <c r="G28" s="4">
        <v>200</v>
      </c>
      <c r="H28" s="4">
        <v>40</v>
      </c>
      <c r="I28" s="4">
        <v>30</v>
      </c>
      <c r="J28" s="4">
        <v>410</v>
      </c>
      <c r="K28" s="4">
        <v>440</v>
      </c>
      <c r="L28" s="4">
        <v>0</v>
      </c>
      <c r="M28" s="4">
        <v>440</v>
      </c>
      <c r="N28" s="4">
        <v>0</v>
      </c>
      <c r="O28" s="4">
        <v>50</v>
      </c>
      <c r="P28" s="4">
        <v>50</v>
      </c>
      <c r="Q28" s="4">
        <v>50</v>
      </c>
      <c r="R28" s="4">
        <v>6604.5</v>
      </c>
      <c r="S28" s="4">
        <v>30</v>
      </c>
    </row>
    <row r="29" spans="1:19" x14ac:dyDescent="0.2">
      <c r="A29" s="1" t="s">
        <v>59</v>
      </c>
      <c r="B29" s="3">
        <f>SUM(Table1[[#This Row],[CARSON CITY]:[WHITE PINE]])</f>
        <v>43272.2</v>
      </c>
      <c r="C29" s="4">
        <v>340</v>
      </c>
      <c r="D29" s="4">
        <v>15</v>
      </c>
      <c r="E29" s="4">
        <v>38439.699999999997</v>
      </c>
      <c r="F29" s="4">
        <v>275</v>
      </c>
      <c r="G29" s="4">
        <v>85</v>
      </c>
      <c r="H29" s="4">
        <v>20</v>
      </c>
      <c r="I29" s="4">
        <v>5</v>
      </c>
      <c r="J29" s="4">
        <v>205</v>
      </c>
      <c r="K29" s="4">
        <v>220</v>
      </c>
      <c r="L29" s="4">
        <v>0</v>
      </c>
      <c r="M29" s="4">
        <v>220</v>
      </c>
      <c r="N29" s="4">
        <v>0</v>
      </c>
      <c r="O29" s="4">
        <v>25</v>
      </c>
      <c r="P29" s="4">
        <v>25</v>
      </c>
      <c r="Q29" s="4">
        <v>25</v>
      </c>
      <c r="R29" s="4">
        <v>3357.5</v>
      </c>
      <c r="S29" s="4">
        <v>15</v>
      </c>
    </row>
    <row r="30" spans="1:19" x14ac:dyDescent="0.2">
      <c r="A30" s="1" t="s">
        <v>34</v>
      </c>
      <c r="B30" s="3">
        <f>SUM(Table1[[#This Row],[CARSON CITY]:[WHITE PINE]])</f>
        <v>87421.8</v>
      </c>
      <c r="C30" s="4">
        <v>10000</v>
      </c>
      <c r="D30" s="4">
        <v>0</v>
      </c>
      <c r="E30" s="4">
        <v>54920</v>
      </c>
      <c r="F30" s="4">
        <v>564.29999999999995</v>
      </c>
      <c r="G30" s="4">
        <v>500</v>
      </c>
      <c r="H30" s="4">
        <v>0</v>
      </c>
      <c r="I30" s="4">
        <v>0</v>
      </c>
      <c r="J30" s="4">
        <v>0</v>
      </c>
      <c r="K30" s="4">
        <v>0</v>
      </c>
      <c r="L30" s="4">
        <v>0</v>
      </c>
      <c r="M30" s="4">
        <v>0</v>
      </c>
      <c r="N30" s="4">
        <v>0</v>
      </c>
      <c r="O30" s="4">
        <v>0</v>
      </c>
      <c r="P30" s="4">
        <v>0</v>
      </c>
      <c r="Q30" s="4">
        <v>0</v>
      </c>
      <c r="R30" s="4">
        <v>21437.5</v>
      </c>
      <c r="S30" s="4">
        <v>0</v>
      </c>
    </row>
    <row r="31" spans="1:19" x14ac:dyDescent="0.2">
      <c r="A31" s="1" t="s">
        <v>33</v>
      </c>
      <c r="B31" s="3">
        <f>SUM(Table1[[#This Row],[CARSON CITY]:[WHITE PINE]])</f>
        <v>782296.2</v>
      </c>
      <c r="C31" s="4">
        <v>90000</v>
      </c>
      <c r="D31" s="4">
        <v>0</v>
      </c>
      <c r="E31" s="4">
        <v>494280</v>
      </c>
      <c r="F31" s="4">
        <v>5078.7</v>
      </c>
      <c r="G31" s="4">
        <v>0</v>
      </c>
      <c r="H31" s="4">
        <v>0</v>
      </c>
      <c r="I31" s="4">
        <v>0</v>
      </c>
      <c r="J31" s="4">
        <v>0</v>
      </c>
      <c r="K31" s="4">
        <v>0</v>
      </c>
      <c r="L31" s="4">
        <v>0</v>
      </c>
      <c r="M31" s="4">
        <v>0</v>
      </c>
      <c r="N31" s="4">
        <v>0</v>
      </c>
      <c r="O31" s="4">
        <v>0</v>
      </c>
      <c r="P31" s="4">
        <v>0</v>
      </c>
      <c r="Q31" s="4">
        <v>0</v>
      </c>
      <c r="R31" s="4">
        <v>192937.5</v>
      </c>
      <c r="S31" s="4">
        <v>0</v>
      </c>
    </row>
    <row r="32" spans="1:19" x14ac:dyDescent="0.2">
      <c r="A32" s="1" t="s">
        <v>46</v>
      </c>
      <c r="B32" s="3">
        <f>SUM(Table1[[#This Row],[CARSON CITY]:[WHITE PINE]])</f>
        <v>529189.83000000007</v>
      </c>
      <c r="C32" s="4">
        <v>17250</v>
      </c>
      <c r="D32" s="21">
        <f>6443.75+6262.5</f>
        <v>12706.25</v>
      </c>
      <c r="E32" s="21">
        <f>5926.32+72300+201569+98254+1875+21975</f>
        <v>401899.32</v>
      </c>
      <c r="F32" s="21">
        <f>4425+2775</f>
        <v>7200</v>
      </c>
      <c r="G32" s="21">
        <f>50+1000+17560+375+500</f>
        <v>19485</v>
      </c>
      <c r="H32" s="4">
        <v>0</v>
      </c>
      <c r="I32" s="4">
        <v>87.5</v>
      </c>
      <c r="J32" s="4">
        <v>5600</v>
      </c>
      <c r="K32" s="4">
        <v>1052.4000000000001</v>
      </c>
      <c r="L32" s="4">
        <v>325</v>
      </c>
      <c r="M32" s="21">
        <f>1400+1625+5025+275</f>
        <v>8325</v>
      </c>
      <c r="N32" s="21">
        <v>2450</v>
      </c>
      <c r="O32" s="21">
        <f>1000+5100+800</f>
        <v>6900</v>
      </c>
      <c r="P32" s="4">
        <v>1618.76</v>
      </c>
      <c r="Q32" s="4">
        <v>150</v>
      </c>
      <c r="R32" s="21">
        <f>12550+30340.6</f>
        <v>42890.6</v>
      </c>
      <c r="S32" s="21">
        <f>1000+250</f>
        <v>1250</v>
      </c>
    </row>
    <row r="33" spans="1:21" x14ac:dyDescent="0.2">
      <c r="A33" s="1" t="s">
        <v>47</v>
      </c>
      <c r="B33" s="3">
        <f>SUM(Table1[[#This Row],[CARSON CITY]:[WHITE PINE]])</f>
        <v>287150</v>
      </c>
      <c r="C33" s="4">
        <v>670</v>
      </c>
      <c r="D33" s="4">
        <v>1405</v>
      </c>
      <c r="E33" s="4">
        <v>136880</v>
      </c>
      <c r="F33" s="4">
        <v>9420</v>
      </c>
      <c r="G33" s="4">
        <v>6720</v>
      </c>
      <c r="H33" s="4">
        <v>65</v>
      </c>
      <c r="I33" s="4">
        <v>50</v>
      </c>
      <c r="J33" s="4">
        <v>1875</v>
      </c>
      <c r="K33" s="4">
        <v>360</v>
      </c>
      <c r="L33" s="4">
        <v>255</v>
      </c>
      <c r="M33" s="4">
        <v>645</v>
      </c>
      <c r="N33" s="4">
        <v>280</v>
      </c>
      <c r="O33" s="4">
        <v>1220</v>
      </c>
      <c r="P33" s="4">
        <v>245</v>
      </c>
      <c r="Q33" s="4">
        <v>885</v>
      </c>
      <c r="R33" s="4">
        <v>125420</v>
      </c>
      <c r="S33" s="4">
        <v>755</v>
      </c>
    </row>
    <row r="34" spans="1:21" x14ac:dyDescent="0.2">
      <c r="A34" s="1" t="s">
        <v>48</v>
      </c>
      <c r="B34" s="3">
        <f>SUM(Table1[[#This Row],[CARSON CITY]:[WHITE PINE]])</f>
        <v>657310</v>
      </c>
      <c r="C34" s="4">
        <v>18100</v>
      </c>
      <c r="D34" s="4">
        <v>0</v>
      </c>
      <c r="E34" s="4">
        <v>638900</v>
      </c>
      <c r="F34" s="4">
        <v>0</v>
      </c>
      <c r="G34" s="4">
        <v>0</v>
      </c>
      <c r="H34" s="4">
        <v>55</v>
      </c>
      <c r="I34" s="4">
        <v>80</v>
      </c>
      <c r="J34" s="4">
        <v>0</v>
      </c>
      <c r="K34" s="4">
        <v>0</v>
      </c>
      <c r="L34" s="4">
        <v>50</v>
      </c>
      <c r="M34" s="4">
        <v>0</v>
      </c>
      <c r="N34" s="4">
        <v>100</v>
      </c>
      <c r="O34" s="4">
        <v>0</v>
      </c>
      <c r="P34" s="4">
        <v>25</v>
      </c>
      <c r="Q34" s="4">
        <v>0</v>
      </c>
      <c r="R34" s="4">
        <v>0</v>
      </c>
      <c r="S34" s="4">
        <v>0</v>
      </c>
    </row>
    <row r="35" spans="1:21" x14ac:dyDescent="0.2">
      <c r="A35" s="1" t="s">
        <v>49</v>
      </c>
      <c r="B35" s="3">
        <f>SUM(Table1[[#This Row],[CARSON CITY]:[WHITE PINE]])</f>
        <v>2072180</v>
      </c>
      <c r="C35" s="4">
        <v>13600</v>
      </c>
      <c r="D35" s="4">
        <v>4575</v>
      </c>
      <c r="E35" s="4">
        <v>1837050</v>
      </c>
      <c r="F35" s="4">
        <v>17050</v>
      </c>
      <c r="G35" s="4">
        <v>11025</v>
      </c>
      <c r="H35" s="4">
        <v>100</v>
      </c>
      <c r="I35" s="4">
        <v>225</v>
      </c>
      <c r="J35" s="4">
        <v>2625</v>
      </c>
      <c r="K35" s="4">
        <v>680</v>
      </c>
      <c r="L35" s="4">
        <v>375</v>
      </c>
      <c r="M35" s="4">
        <v>1950</v>
      </c>
      <c r="N35" s="4">
        <v>500</v>
      </c>
      <c r="O35" s="4">
        <v>6350</v>
      </c>
      <c r="P35" s="4">
        <v>750</v>
      </c>
      <c r="Q35" s="4">
        <v>3025</v>
      </c>
      <c r="R35" s="4">
        <v>170925</v>
      </c>
      <c r="S35" s="4">
        <v>1375</v>
      </c>
    </row>
    <row r="36" spans="1:21" x14ac:dyDescent="0.2">
      <c r="A36" s="1" t="s">
        <v>50</v>
      </c>
      <c r="B36" s="3">
        <f>SUM(Table1[[#This Row],[CARSON CITY]:[WHITE PINE]])</f>
        <v>26915</v>
      </c>
      <c r="C36" s="4">
        <v>0</v>
      </c>
      <c r="D36" s="4">
        <v>500</v>
      </c>
      <c r="E36" s="4">
        <v>20775</v>
      </c>
      <c r="F36" s="4">
        <v>0</v>
      </c>
      <c r="G36" s="21">
        <f>10+900+5</f>
        <v>915</v>
      </c>
      <c r="H36" s="4">
        <v>0</v>
      </c>
      <c r="I36" s="4">
        <v>35</v>
      </c>
      <c r="J36" s="4">
        <v>70</v>
      </c>
      <c r="K36" s="4">
        <v>65</v>
      </c>
      <c r="L36" s="4">
        <v>0</v>
      </c>
      <c r="M36" s="21">
        <f>50+875</f>
        <v>925</v>
      </c>
      <c r="N36" s="4">
        <v>0</v>
      </c>
      <c r="O36" s="21">
        <f>50+50</f>
        <v>100</v>
      </c>
      <c r="P36" s="4">
        <v>90</v>
      </c>
      <c r="Q36" s="4">
        <v>335</v>
      </c>
      <c r="R36" s="4">
        <v>2985</v>
      </c>
      <c r="S36" s="4">
        <v>120</v>
      </c>
    </row>
    <row r="37" spans="1:21" x14ac:dyDescent="0.2">
      <c r="A37" s="1" t="s">
        <v>35</v>
      </c>
      <c r="B37" s="3">
        <f>SUM(Table1[[#This Row],[CARSON CITY]:[WHITE PINE]])</f>
        <v>838374.97</v>
      </c>
      <c r="C37" s="4">
        <v>9324.5</v>
      </c>
      <c r="D37" s="4">
        <v>5200</v>
      </c>
      <c r="E37" s="4">
        <v>646294</v>
      </c>
      <c r="F37" s="4">
        <v>14277</v>
      </c>
      <c r="G37" s="4">
        <v>12296</v>
      </c>
      <c r="H37" s="4">
        <v>3951.46</v>
      </c>
      <c r="I37" s="4">
        <v>3231</v>
      </c>
      <c r="J37" s="4">
        <v>6258</v>
      </c>
      <c r="K37" s="4">
        <v>2701</v>
      </c>
      <c r="L37" s="4">
        <v>6410.01</v>
      </c>
      <c r="M37" s="4">
        <v>14636</v>
      </c>
      <c r="N37" s="4">
        <v>1840</v>
      </c>
      <c r="O37" s="4">
        <v>17136</v>
      </c>
      <c r="P37" s="4">
        <v>2936</v>
      </c>
      <c r="Q37" s="4">
        <v>1622</v>
      </c>
      <c r="R37" s="4">
        <v>87607</v>
      </c>
      <c r="S37" s="4">
        <v>2655</v>
      </c>
    </row>
    <row r="38" spans="1:21" x14ac:dyDescent="0.2">
      <c r="A38" s="1" t="s">
        <v>104</v>
      </c>
      <c r="B38" s="3">
        <f>SUM(Table1[[#This Row],[CARSON CITY]:[WHITE PINE]])</f>
        <v>374148.62000000011</v>
      </c>
      <c r="C38" s="4">
        <v>3649.34</v>
      </c>
      <c r="D38" s="4">
        <v>2900.94</v>
      </c>
      <c r="E38" s="4">
        <v>285575.64</v>
      </c>
      <c r="F38" s="4">
        <v>5172.58</v>
      </c>
      <c r="G38" s="4">
        <v>8268.7800000000007</v>
      </c>
      <c r="H38" s="4">
        <v>0</v>
      </c>
      <c r="I38" s="4">
        <v>187.16</v>
      </c>
      <c r="J38" s="4">
        <v>2433.08</v>
      </c>
      <c r="K38" s="4">
        <v>1472.53</v>
      </c>
      <c r="L38" s="4">
        <v>665</v>
      </c>
      <c r="M38" s="4">
        <v>8331</v>
      </c>
      <c r="N38" s="4">
        <v>655.02</v>
      </c>
      <c r="O38" s="4">
        <v>11323.18</v>
      </c>
      <c r="P38" s="4">
        <v>1309.98</v>
      </c>
      <c r="Q38" s="4">
        <v>1777.83</v>
      </c>
      <c r="R38" s="4">
        <v>38835.699999999997</v>
      </c>
      <c r="S38" s="4">
        <v>1590.86</v>
      </c>
    </row>
    <row r="39" spans="1:21" x14ac:dyDescent="0.2">
      <c r="A39" s="1" t="s">
        <v>51</v>
      </c>
      <c r="B39" s="3">
        <f>SUM(Table1[[#This Row],[CARSON CITY]:[WHITE PINE]])</f>
        <v>590322</v>
      </c>
      <c r="C39" s="4">
        <v>6205.5</v>
      </c>
      <c r="D39" s="4">
        <v>4580.25</v>
      </c>
      <c r="E39" s="4">
        <v>450933</v>
      </c>
      <c r="F39" s="4">
        <v>7387.5</v>
      </c>
      <c r="G39" s="4">
        <v>13297.5</v>
      </c>
      <c r="H39" s="4">
        <v>0</v>
      </c>
      <c r="I39" s="4">
        <v>295.5</v>
      </c>
      <c r="J39" s="4">
        <v>3841.5</v>
      </c>
      <c r="K39" s="4">
        <v>2556.75</v>
      </c>
      <c r="L39" s="4">
        <v>1050</v>
      </c>
      <c r="M39" s="4">
        <v>13297.5</v>
      </c>
      <c r="N39" s="4">
        <v>1034.25</v>
      </c>
      <c r="O39" s="4">
        <v>17877.75</v>
      </c>
      <c r="P39" s="4">
        <v>2068.5</v>
      </c>
      <c r="Q39" s="4">
        <v>2068.5</v>
      </c>
      <c r="R39" s="4">
        <v>61316.25</v>
      </c>
      <c r="S39" s="4">
        <v>2511.75</v>
      </c>
    </row>
    <row r="40" spans="1:21" x14ac:dyDescent="0.2">
      <c r="A40" s="1" t="s">
        <v>52</v>
      </c>
      <c r="B40" s="3">
        <f>SUM(Table1[[#This Row],[CARSON CITY]:[WHITE PINE]])</f>
        <v>1188520</v>
      </c>
      <c r="C40" s="4">
        <v>0</v>
      </c>
      <c r="D40" s="4">
        <v>0</v>
      </c>
      <c r="E40" s="4">
        <v>0</v>
      </c>
      <c r="F40" s="4">
        <v>0</v>
      </c>
      <c r="G40" s="4">
        <v>0</v>
      </c>
      <c r="H40" s="4">
        <v>0</v>
      </c>
      <c r="I40" s="4">
        <v>0</v>
      </c>
      <c r="J40" s="4">
        <v>0</v>
      </c>
      <c r="K40" s="4">
        <v>0</v>
      </c>
      <c r="L40" s="4">
        <v>0</v>
      </c>
      <c r="M40" s="4">
        <v>0</v>
      </c>
      <c r="N40" s="4">
        <v>0</v>
      </c>
      <c r="O40" s="4">
        <v>0</v>
      </c>
      <c r="P40" s="4">
        <v>0</v>
      </c>
      <c r="Q40" s="4">
        <v>0</v>
      </c>
      <c r="R40" s="4">
        <v>1188520</v>
      </c>
      <c r="S40" s="4">
        <v>0</v>
      </c>
    </row>
    <row r="41" spans="1:21" x14ac:dyDescent="0.2">
      <c r="A41" s="1" t="s">
        <v>53</v>
      </c>
      <c r="B41" s="3">
        <f>SUM(Table1[[#This Row],[CARSON CITY]:[WHITE PINE]])</f>
        <v>1388161.7</v>
      </c>
      <c r="C41" s="4">
        <v>0</v>
      </c>
      <c r="D41" s="4">
        <v>34270.699999999997</v>
      </c>
      <c r="E41" s="4">
        <v>0</v>
      </c>
      <c r="F41" s="4">
        <v>0</v>
      </c>
      <c r="G41" s="4">
        <v>0</v>
      </c>
      <c r="H41" s="4">
        <v>0</v>
      </c>
      <c r="I41" s="4">
        <v>0</v>
      </c>
      <c r="J41" s="4">
        <v>0</v>
      </c>
      <c r="K41" s="4">
        <v>0</v>
      </c>
      <c r="L41" s="4">
        <v>0</v>
      </c>
      <c r="M41" s="4">
        <v>0</v>
      </c>
      <c r="N41" s="4">
        <v>0</v>
      </c>
      <c r="O41" s="4">
        <v>0</v>
      </c>
      <c r="P41" s="4">
        <v>0</v>
      </c>
      <c r="Q41" s="4">
        <v>0</v>
      </c>
      <c r="R41" s="4">
        <v>1353891</v>
      </c>
      <c r="S41" s="4">
        <v>0</v>
      </c>
    </row>
    <row r="42" spans="1:21" x14ac:dyDescent="0.2">
      <c r="A42" s="1" t="s">
        <v>54</v>
      </c>
      <c r="B42" s="3">
        <f>SUM(Table1[[#This Row],[CARSON CITY]:[WHITE PINE]])</f>
        <v>4266363</v>
      </c>
      <c r="C42" s="4">
        <v>0</v>
      </c>
      <c r="D42" s="4">
        <v>162218</v>
      </c>
      <c r="E42" s="4">
        <v>0</v>
      </c>
      <c r="F42" s="4">
        <v>0</v>
      </c>
      <c r="G42" s="4">
        <v>0</v>
      </c>
      <c r="H42" s="4">
        <v>0</v>
      </c>
      <c r="I42" s="4">
        <v>0</v>
      </c>
      <c r="J42" s="4">
        <v>0</v>
      </c>
      <c r="K42" s="4">
        <v>0</v>
      </c>
      <c r="L42" s="4">
        <v>0</v>
      </c>
      <c r="M42" s="4">
        <v>0</v>
      </c>
      <c r="N42" s="4">
        <v>0</v>
      </c>
      <c r="O42" s="4">
        <v>0</v>
      </c>
      <c r="P42" s="4">
        <v>0</v>
      </c>
      <c r="Q42" s="4">
        <v>0</v>
      </c>
      <c r="R42" s="4">
        <v>4104145</v>
      </c>
      <c r="S42" s="4">
        <v>0</v>
      </c>
    </row>
    <row r="43" spans="1:21" x14ac:dyDescent="0.2">
      <c r="A43" s="1" t="s">
        <v>37</v>
      </c>
      <c r="B43" s="3">
        <f>SUM(Table1[[#This Row],[CARSON CITY]:[WHITE PINE]])</f>
        <v>3006874.48</v>
      </c>
      <c r="C43" s="4">
        <v>65858.5</v>
      </c>
      <c r="D43" s="21">
        <f>37138+5492.9</f>
        <v>42630.9</v>
      </c>
      <c r="E43" s="21">
        <f>1197743+22534+231064+428676.39+16343.88+182142.55</f>
        <v>2078503.82</v>
      </c>
      <c r="F43" s="4">
        <v>53742</v>
      </c>
      <c r="G43" s="21">
        <f>85144+1015+5723+303+3647</f>
        <v>95832</v>
      </c>
      <c r="H43" s="4">
        <v>26439</v>
      </c>
      <c r="I43" s="4">
        <v>8152</v>
      </c>
      <c r="J43" s="4">
        <v>44295.33</v>
      </c>
      <c r="K43" s="4">
        <v>20244.5</v>
      </c>
      <c r="L43" s="4">
        <v>31567</v>
      </c>
      <c r="M43" s="21">
        <f>59243.2+21026+908.87</f>
        <v>81178.069999999992</v>
      </c>
      <c r="N43" s="4">
        <v>41139.120000000003</v>
      </c>
      <c r="O43" s="4">
        <v>72742.5</v>
      </c>
      <c r="P43" s="4">
        <v>10923</v>
      </c>
      <c r="Q43" s="4">
        <v>16484</v>
      </c>
      <c r="R43" s="21">
        <f>197767.69+71214+28010</f>
        <v>296991.69</v>
      </c>
      <c r="S43" s="21">
        <f>17545.05+2606</f>
        <v>20151.05</v>
      </c>
    </row>
    <row r="44" spans="1:21" x14ac:dyDescent="0.2">
      <c r="A44" s="1" t="s">
        <v>28</v>
      </c>
      <c r="B44" s="3">
        <f>SUM(Table1[[#This Row],[CARSON CITY]:[WHITE PINE]])</f>
        <v>129916.18</v>
      </c>
      <c r="C44" s="4">
        <v>1080</v>
      </c>
      <c r="D44" s="19">
        <v>45</v>
      </c>
      <c r="E44" s="19">
        <v>115319.18</v>
      </c>
      <c r="F44" s="4">
        <v>825</v>
      </c>
      <c r="G44" s="19">
        <v>300</v>
      </c>
      <c r="H44" s="4">
        <v>60</v>
      </c>
      <c r="I44" s="4">
        <v>35</v>
      </c>
      <c r="J44" s="4">
        <v>625</v>
      </c>
      <c r="K44" s="4">
        <v>0</v>
      </c>
      <c r="L44" s="4">
        <v>0</v>
      </c>
      <c r="M44" s="19">
        <v>660</v>
      </c>
      <c r="N44" s="4">
        <v>0</v>
      </c>
      <c r="O44" s="4">
        <v>810</v>
      </c>
      <c r="P44" s="4">
        <v>75</v>
      </c>
      <c r="Q44" s="4">
        <v>75</v>
      </c>
      <c r="R44" s="19">
        <v>9962</v>
      </c>
      <c r="S44" s="19">
        <v>45</v>
      </c>
    </row>
    <row r="45" spans="1:21" x14ac:dyDescent="0.2">
      <c r="A45" s="1" t="s">
        <v>55</v>
      </c>
      <c r="B45" s="3">
        <f>SUM(Table1[[#This Row],[CARSON CITY]:[WHITE PINE]])</f>
        <v>2144138.5700000003</v>
      </c>
      <c r="C45" s="4">
        <v>46926</v>
      </c>
      <c r="D45" s="21">
        <f>25418+3972</f>
        <v>29390</v>
      </c>
      <c r="E45" s="21">
        <f>845695+16332+165680.05+300141.72+11768+139200</f>
        <v>1478816.77</v>
      </c>
      <c r="F45" s="4">
        <v>38010</v>
      </c>
      <c r="G45" s="21">
        <f>60898.06+770+4105+180+2625</f>
        <v>68578.06</v>
      </c>
      <c r="H45" s="4">
        <v>17920</v>
      </c>
      <c r="I45" s="4">
        <v>5785</v>
      </c>
      <c r="J45" s="4">
        <v>31863</v>
      </c>
      <c r="K45" s="4">
        <v>14550</v>
      </c>
      <c r="L45" s="4">
        <v>24635.97</v>
      </c>
      <c r="M45" s="21">
        <f>35781+15151+649.1</f>
        <v>51581.1</v>
      </c>
      <c r="N45" s="4">
        <v>29720.67</v>
      </c>
      <c r="O45" s="4">
        <v>44393</v>
      </c>
      <c r="P45" s="4">
        <v>7740</v>
      </c>
      <c r="Q45" s="4">
        <v>11817</v>
      </c>
      <c r="R45" s="21">
        <f>154439+51487+22015</f>
        <v>227941</v>
      </c>
      <c r="S45" s="21">
        <f>12493+1978</f>
        <v>14471</v>
      </c>
    </row>
    <row r="46" spans="1:21" x14ac:dyDescent="0.2">
      <c r="A46" s="1" t="s">
        <v>57</v>
      </c>
      <c r="B46" s="20">
        <f>SUM(Table1[[#This Row],[CARSON CITY]:[WHITE PINE]])</f>
        <v>310423</v>
      </c>
      <c r="C46" s="4">
        <v>0</v>
      </c>
      <c r="D46" s="4">
        <v>0</v>
      </c>
      <c r="E46" s="21">
        <v>310423</v>
      </c>
      <c r="F46" s="4">
        <v>0</v>
      </c>
      <c r="G46" s="4">
        <v>0</v>
      </c>
      <c r="H46" s="4">
        <v>0</v>
      </c>
      <c r="I46" s="4">
        <v>0</v>
      </c>
      <c r="J46" s="4">
        <v>0</v>
      </c>
      <c r="K46" s="4">
        <v>0</v>
      </c>
      <c r="L46" s="4">
        <v>0</v>
      </c>
      <c r="M46" s="4">
        <v>0</v>
      </c>
      <c r="N46" s="4">
        <v>0</v>
      </c>
      <c r="O46" s="4">
        <v>0</v>
      </c>
      <c r="P46" s="4">
        <v>0</v>
      </c>
      <c r="Q46" s="4">
        <v>0</v>
      </c>
      <c r="R46" s="4">
        <v>0</v>
      </c>
      <c r="S46" s="4">
        <v>0</v>
      </c>
    </row>
    <row r="47" spans="1:21" x14ac:dyDescent="0.2">
      <c r="A47" s="1" t="s">
        <v>60</v>
      </c>
      <c r="B47" s="3">
        <f>SUM(Table1[[#This Row],[CARSON CITY]:[WHITE PINE]])</f>
        <v>2628543</v>
      </c>
      <c r="C47" s="4">
        <v>0</v>
      </c>
      <c r="D47" s="4">
        <v>0</v>
      </c>
      <c r="E47" s="4">
        <v>1068261</v>
      </c>
      <c r="F47" s="4">
        <v>0</v>
      </c>
      <c r="G47" s="4">
        <v>0</v>
      </c>
      <c r="H47" s="4">
        <v>0</v>
      </c>
      <c r="I47" s="4">
        <v>0</v>
      </c>
      <c r="J47" s="4">
        <v>0</v>
      </c>
      <c r="K47" s="4">
        <v>0</v>
      </c>
      <c r="L47" s="4">
        <v>0</v>
      </c>
      <c r="M47" s="4">
        <v>0</v>
      </c>
      <c r="N47" s="4">
        <v>0</v>
      </c>
      <c r="O47" s="4">
        <v>1292147</v>
      </c>
      <c r="P47" s="4">
        <v>0</v>
      </c>
      <c r="Q47" s="4">
        <v>0</v>
      </c>
      <c r="R47" s="4">
        <v>0</v>
      </c>
      <c r="S47" s="4">
        <v>268135</v>
      </c>
      <c r="U47" s="4"/>
    </row>
    <row r="48" spans="1:21" x14ac:dyDescent="0.2">
      <c r="A48" s="1" t="s">
        <v>61</v>
      </c>
      <c r="B48" s="3">
        <f>SUM(Table1[[#This Row],[CARSON CITY]:[WHITE PINE]])</f>
        <v>3006874.48</v>
      </c>
      <c r="C48" s="4">
        <v>65858.5</v>
      </c>
      <c r="D48" s="21">
        <f>37138+5492.9</f>
        <v>42630.9</v>
      </c>
      <c r="E48" s="21">
        <f>1197743+22534+231064+428676.39+16343.88+182142.55</f>
        <v>2078503.82</v>
      </c>
      <c r="F48" s="4">
        <v>53742</v>
      </c>
      <c r="G48" s="21">
        <f>85144+1066+5723+252+3647</f>
        <v>95832</v>
      </c>
      <c r="H48" s="4">
        <v>26439</v>
      </c>
      <c r="I48" s="4">
        <v>8152</v>
      </c>
      <c r="J48" s="4">
        <v>44295.33</v>
      </c>
      <c r="K48" s="4">
        <v>20244.5</v>
      </c>
      <c r="L48" s="4">
        <v>31567</v>
      </c>
      <c r="M48" s="21">
        <f>59243.2+21026+908.87</f>
        <v>81178.069999999992</v>
      </c>
      <c r="N48" s="4">
        <v>41139.120000000003</v>
      </c>
      <c r="O48" s="4">
        <v>72742.5</v>
      </c>
      <c r="P48" s="4">
        <v>10923</v>
      </c>
      <c r="Q48" s="4">
        <v>16484</v>
      </c>
      <c r="R48" s="21">
        <f>197767.69+71214+28010</f>
        <v>296991.69</v>
      </c>
      <c r="S48" s="21">
        <f>17545.05+2606</f>
        <v>20151.05</v>
      </c>
    </row>
    <row r="49" spans="1:19" ht="13.5" thickBot="1" x14ac:dyDescent="0.25">
      <c r="A49" s="1" t="s">
        <v>63</v>
      </c>
      <c r="B49" s="3">
        <f>SUM(Table1[[#This Row],[CARSON CITY]:[WHITE PINE]])</f>
        <v>345572</v>
      </c>
      <c r="C49" s="4">
        <v>0</v>
      </c>
      <c r="D49" s="4">
        <v>0</v>
      </c>
      <c r="E49" s="4">
        <v>345572</v>
      </c>
      <c r="F49" s="4">
        <v>0</v>
      </c>
      <c r="G49" s="4">
        <v>0</v>
      </c>
      <c r="H49" s="4">
        <v>0</v>
      </c>
      <c r="I49" s="4">
        <v>0</v>
      </c>
      <c r="J49" s="4">
        <v>0</v>
      </c>
      <c r="K49" s="4">
        <v>0</v>
      </c>
      <c r="L49" s="4">
        <v>0</v>
      </c>
      <c r="M49" s="4">
        <v>0</v>
      </c>
      <c r="N49" s="4">
        <v>0</v>
      </c>
      <c r="O49" s="4">
        <v>0</v>
      </c>
      <c r="P49" s="4">
        <v>0</v>
      </c>
      <c r="Q49" s="4">
        <v>0</v>
      </c>
      <c r="R49" s="4">
        <v>0</v>
      </c>
      <c r="S49" s="4">
        <v>0</v>
      </c>
    </row>
    <row r="50" spans="1:19" s="8" customFormat="1" ht="13.5" thickBot="1" x14ac:dyDescent="0.25">
      <c r="A50" s="5" t="s">
        <v>16</v>
      </c>
      <c r="B50" s="6">
        <f>SUM(Table1[[#This Row],[CARSON CITY]:[WHITE PINE]])</f>
        <v>0</v>
      </c>
      <c r="C50" s="6"/>
      <c r="D50" s="6"/>
      <c r="E50" s="6"/>
      <c r="F50" s="6"/>
      <c r="G50" s="6"/>
      <c r="H50" s="7"/>
      <c r="I50" s="7"/>
      <c r="J50" s="7"/>
      <c r="K50" s="7"/>
      <c r="L50" s="7"/>
      <c r="M50" s="7"/>
      <c r="N50" s="2"/>
      <c r="O50" s="2"/>
      <c r="P50" s="7"/>
      <c r="Q50" s="7"/>
      <c r="R50" s="7"/>
      <c r="S50" s="7"/>
    </row>
    <row r="51" spans="1:19" ht="13.5" thickTop="1" x14ac:dyDescent="0.2">
      <c r="A51" s="14" t="s">
        <v>103</v>
      </c>
      <c r="B51" s="3"/>
      <c r="C51" s="3"/>
    </row>
    <row r="52" spans="1:19" x14ac:dyDescent="0.2">
      <c r="A52" s="23" t="s">
        <v>66</v>
      </c>
      <c r="B52" s="9"/>
      <c r="C52" s="3"/>
    </row>
    <row r="53" spans="1:19" x14ac:dyDescent="0.2">
      <c r="A53" s="15" t="s">
        <v>67</v>
      </c>
    </row>
    <row r="54" spans="1:19" x14ac:dyDescent="0.2">
      <c r="A54" s="15" t="s">
        <v>68</v>
      </c>
    </row>
    <row r="55" spans="1:19" x14ac:dyDescent="0.2">
      <c r="A55" s="15" t="s">
        <v>69</v>
      </c>
    </row>
    <row r="56" spans="1:19" x14ac:dyDescent="0.2">
      <c r="A56" s="15" t="s">
        <v>70</v>
      </c>
    </row>
    <row r="57" spans="1:19" x14ac:dyDescent="0.2">
      <c r="A57" s="15" t="s">
        <v>71</v>
      </c>
    </row>
    <row r="58" spans="1:19" x14ac:dyDescent="0.2">
      <c r="A58" s="15" t="s">
        <v>72</v>
      </c>
    </row>
    <row r="59" spans="1:19" x14ac:dyDescent="0.2">
      <c r="A59" s="15" t="s">
        <v>73</v>
      </c>
    </row>
    <row r="60" spans="1:19" x14ac:dyDescent="0.2">
      <c r="A60" s="15" t="s">
        <v>74</v>
      </c>
    </row>
    <row r="61" spans="1:19" x14ac:dyDescent="0.2">
      <c r="A61" s="15" t="s">
        <v>75</v>
      </c>
    </row>
    <row r="62" spans="1:19" x14ac:dyDescent="0.2">
      <c r="A62" s="15" t="s">
        <v>76</v>
      </c>
    </row>
    <row r="63" spans="1:19" x14ac:dyDescent="0.2">
      <c r="A63" s="15" t="s">
        <v>77</v>
      </c>
    </row>
    <row r="64" spans="1:19" x14ac:dyDescent="0.2">
      <c r="A64" s="15" t="s">
        <v>78</v>
      </c>
    </row>
    <row r="65" spans="1:1" x14ac:dyDescent="0.2">
      <c r="A65" s="15" t="s">
        <v>79</v>
      </c>
    </row>
    <row r="66" spans="1:1" x14ac:dyDescent="0.2">
      <c r="A66" s="15" t="s">
        <v>80</v>
      </c>
    </row>
    <row r="67" spans="1:1" x14ac:dyDescent="0.2">
      <c r="A67" s="15" t="s">
        <v>81</v>
      </c>
    </row>
    <row r="68" spans="1:1" x14ac:dyDescent="0.2">
      <c r="A68" s="15" t="s">
        <v>82</v>
      </c>
    </row>
    <row r="69" spans="1:1" x14ac:dyDescent="0.2">
      <c r="A69" s="15" t="s">
        <v>83</v>
      </c>
    </row>
    <row r="70" spans="1:1" x14ac:dyDescent="0.2">
      <c r="A70" s="22" t="s">
        <v>84</v>
      </c>
    </row>
    <row r="71" spans="1:1" x14ac:dyDescent="0.2">
      <c r="A71" s="15" t="s">
        <v>85</v>
      </c>
    </row>
    <row r="72" spans="1:1" x14ac:dyDescent="0.2">
      <c r="A72" s="15" t="s">
        <v>86</v>
      </c>
    </row>
    <row r="73" spans="1:1" x14ac:dyDescent="0.2">
      <c r="A73" s="15" t="s">
        <v>87</v>
      </c>
    </row>
    <row r="74" spans="1:1" x14ac:dyDescent="0.2">
      <c r="A74" s="15" t="s">
        <v>88</v>
      </c>
    </row>
    <row r="75" spans="1:1" x14ac:dyDescent="0.2">
      <c r="A75" s="15" t="s">
        <v>89</v>
      </c>
    </row>
    <row r="76" spans="1:1" x14ac:dyDescent="0.2">
      <c r="A76" s="15" t="s">
        <v>90</v>
      </c>
    </row>
    <row r="77" spans="1:1" x14ac:dyDescent="0.2">
      <c r="A77" s="15" t="s">
        <v>91</v>
      </c>
    </row>
    <row r="78" spans="1:1" x14ac:dyDescent="0.2">
      <c r="A78" s="15" t="s">
        <v>92</v>
      </c>
    </row>
    <row r="79" spans="1:1" x14ac:dyDescent="0.2">
      <c r="A79" s="15" t="s">
        <v>93</v>
      </c>
    </row>
    <row r="80" spans="1:1" x14ac:dyDescent="0.2">
      <c r="A80" s="22" t="s">
        <v>94</v>
      </c>
    </row>
    <row r="81" spans="1:1" x14ac:dyDescent="0.2">
      <c r="A81" s="15" t="s">
        <v>95</v>
      </c>
    </row>
    <row r="82" spans="1:1" x14ac:dyDescent="0.2">
      <c r="A82" s="15" t="s">
        <v>96</v>
      </c>
    </row>
    <row r="83" spans="1:1" x14ac:dyDescent="0.2">
      <c r="A83" s="15" t="s">
        <v>97</v>
      </c>
    </row>
    <row r="84" spans="1:1" x14ac:dyDescent="0.2">
      <c r="A84" s="15" t="s">
        <v>98</v>
      </c>
    </row>
    <row r="85" spans="1:1" x14ac:dyDescent="0.2">
      <c r="A85" s="15" t="s">
        <v>99</v>
      </c>
    </row>
    <row r="86" spans="1:1" x14ac:dyDescent="0.2">
      <c r="A86" s="15" t="s">
        <v>100</v>
      </c>
    </row>
    <row r="87" spans="1:1" x14ac:dyDescent="0.2">
      <c r="A87" s="15" t="s">
        <v>101</v>
      </c>
    </row>
    <row r="88" spans="1:1" x14ac:dyDescent="0.2">
      <c r="A88" s="15" t="s">
        <v>102</v>
      </c>
    </row>
    <row r="89" spans="1:1" x14ac:dyDescent="0.2">
      <c r="A89" s="15"/>
    </row>
    <row r="90" spans="1:1" x14ac:dyDescent="0.2">
      <c r="A90" s="14"/>
    </row>
    <row r="91" spans="1:1" x14ac:dyDescent="0.2">
      <c r="A91" s="15"/>
    </row>
    <row r="92" spans="1:1" x14ac:dyDescent="0.2">
      <c r="A92" s="15"/>
    </row>
    <row r="93" spans="1:1" x14ac:dyDescent="0.2">
      <c r="A93" s="15"/>
    </row>
  </sheetData>
  <hyperlinks>
    <hyperlink ref="E23" location="'2019'!A52" display="'2019'!A52" xr:uid="{7692E2A8-B242-4CED-8AFE-982200AE00DC}"/>
    <hyperlink ref="F23" location="'2019'!A53" display="'2019'!A53" xr:uid="{1592C5B8-3789-40AE-86BF-D9165FBC6698}"/>
    <hyperlink ref="G23" location="'2019'!A54" display="'2019'!A54" xr:uid="{9B9F49F9-6AF3-4065-915D-A1A0AB605D43}"/>
    <hyperlink ref="M23" location="'2019'!A55" display="'2019'!A55" xr:uid="{1106EC41-A338-47DA-B411-5099371DE7D1}"/>
    <hyperlink ref="N23" location="'2019'!A56" display="'2019'!A56" xr:uid="{6230FE94-ECFA-4DEF-990A-DDB8BB73A580}"/>
    <hyperlink ref="O23" location="'2019'!A57" display="'2019'!A57" xr:uid="{5C8024C0-2A57-4D06-BF23-E66D7A46F548}"/>
    <hyperlink ref="R23" location="'2019'!A58" display="'2019'!A58" xr:uid="{1FDCACC6-1BFE-4CEF-980A-7DCC4C545500}"/>
    <hyperlink ref="D32" location="'2019'!A59" display="'2019'!A59" xr:uid="{535078CD-6FCA-44B8-9EE1-2B2DD3F09CA2}"/>
    <hyperlink ref="E32" location="'2019'!A60" display="'2019'!A60" xr:uid="{BD5B1BB4-0F1D-4C85-9602-A6B135A7CDFF}"/>
    <hyperlink ref="F32" location="'2019'!A61" display="'2019'!A61" xr:uid="{0C6B9E30-58FA-4AC5-860E-66DDFD4001A8}"/>
    <hyperlink ref="G32" location="'2019'!A62" display="'2019'!A62" xr:uid="{48CD0CF1-5870-495D-85E4-607230A628C8}"/>
    <hyperlink ref="M32" location="'2019'!A63" display="'2019'!A63" xr:uid="{3F7CEEC7-81FD-41E1-B9B7-50B758DB7481}"/>
    <hyperlink ref="N32" location="'2019'!A64" display="'2019'!A64" xr:uid="{D9323FFD-D26E-4D1F-83A2-C61260D484F4}"/>
    <hyperlink ref="O32" location="'2019'!A65" display="'2019'!A65" xr:uid="{CC04F233-BECB-4123-877F-EBDE881BF503}"/>
    <hyperlink ref="R32" location="'2019'!A66" display="'2019'!A66" xr:uid="{9805747D-C11F-4A57-A539-609A7CB1F318}"/>
    <hyperlink ref="S32" location="'2019'!A67" display="'2019'!A67" xr:uid="{0A503765-1AB0-482D-9314-E2859D8BF946}"/>
    <hyperlink ref="G36" location="'2019'!A68" display="'2019'!A68" xr:uid="{F03DF012-DEFF-4375-B2DE-965CBCD00DD2}"/>
    <hyperlink ref="M36" location="'2019'!A69" display="'2019'!A69" xr:uid="{6414E4ED-188B-4297-8F94-316F5E95D8C9}"/>
    <hyperlink ref="O36" location="'2019'!A70" display="'2019'!A70" xr:uid="{BBED0340-2900-46C6-95C2-76B7602EC87F}"/>
    <hyperlink ref="D43" location="'2019'!A71" display="'2019'!A71" xr:uid="{1C212EFD-0251-4380-8544-2E32A1A5FE4D}"/>
    <hyperlink ref="E43" location="'2019'!A72" display="'2019'!A72" xr:uid="{B9A2895F-D9AF-4D7A-B359-A1D23671C8FE}"/>
    <hyperlink ref="G43" location="'2019'!A73" display="'2019'!A73" xr:uid="{29C4A75D-0457-435D-9C8F-B1C9FA70A2F5}"/>
    <hyperlink ref="M43" location="'2019'!A74" display="'2019'!A74" xr:uid="{01A77E37-0400-4257-B386-AE760B746E15}"/>
    <hyperlink ref="R43" location="'2019'!A75" display="'2019'!A75" xr:uid="{953E2A1F-1EDF-4364-940C-723B2B9E1E29}"/>
    <hyperlink ref="S43" location="'2019'!A76" display="'2019'!A76" xr:uid="{087B61D7-3E33-431B-9370-D2105B6DEC00}"/>
    <hyperlink ref="D45" location="'2019'!A77" display="'2019'!A77" xr:uid="{F8A0D1C0-F933-46EC-AA02-490581788247}"/>
    <hyperlink ref="E45" location="'2019'!A78" display="'2019'!A78" xr:uid="{B4732619-6FA9-414A-B7DD-FDBA927FD6E4}"/>
    <hyperlink ref="G45" location="'2019'!A79" display="'2019'!A79" xr:uid="{0702AFE7-30C3-4708-BEEF-8F1AE62ECAB2}"/>
    <hyperlink ref="M45" location="'2019'!A80" display="'2019'!A80" xr:uid="{8FBDBD5C-1B27-40AF-82F2-A60515AE9BF1}"/>
    <hyperlink ref="R45" location="'2019'!A1" display="'2019'!A1" xr:uid="{CE75CBBE-BAD5-4DEC-93F2-2EE555D67CA2}"/>
    <hyperlink ref="S45" location="'2019'!A81" display="'2019'!A81" xr:uid="{943A0AE2-374E-4A7B-AC94-7CDAAA52372A}"/>
    <hyperlink ref="D48" location="'2019'!A82" display="'2019'!A82" xr:uid="{9BBC2370-08DB-47C2-94A0-9DBB3CD88B1A}"/>
    <hyperlink ref="E48" location="'2019'!A83" display="'2019'!A83" xr:uid="{B1523152-6E9F-42AD-BF40-C93A5DB4287C}"/>
    <hyperlink ref="G48" location="'2019'!A84" display="'2019'!A84" xr:uid="{39562EC3-2693-48B9-BA66-9A4B60CC751B}"/>
    <hyperlink ref="M48" location="'2019'!A85" display="'2019'!A85" xr:uid="{2ADA8197-D59B-40D0-B4EB-F95D37590A5D}"/>
    <hyperlink ref="R48" location="'2019'!A86" display="'2019'!A86" xr:uid="{46BEAF49-BEFE-4FFA-9D0F-263F9B10CE05}"/>
    <hyperlink ref="S48" location="'2019'!A87" display="'2019'!A87" xr:uid="{5D8EEABB-B59B-4566-9FB0-6F45900C8C69}"/>
    <hyperlink ref="E46" location="'2019'!A82" display="'2019'!A82" xr:uid="{26B8727D-3324-4435-BFF4-BF15A4C2B2D5}"/>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U94"/>
  <sheetViews>
    <sheetView zoomScale="115" zoomScaleNormal="115" workbookViewId="0">
      <pane ySplit="2" topLeftCell="A3" activePane="bottomLeft" state="frozen"/>
      <selection pane="bottomLeft" activeCell="A23" sqref="A22:E23"/>
    </sheetView>
  </sheetViews>
  <sheetFormatPr defaultColWidth="8.7109375" defaultRowHeight="12.75" x14ac:dyDescent="0.2"/>
  <cols>
    <col min="1" max="1" width="48.5703125" style="1" customWidth="1"/>
    <col min="2" max="19" width="17.5703125" style="1" customWidth="1"/>
    <col min="20" max="20" width="8.7109375" style="1"/>
    <col min="21" max="21" width="12.140625" style="1" bestFit="1" customWidth="1"/>
    <col min="22" max="16384" width="8.7109375" style="1"/>
  </cols>
  <sheetData>
    <row r="1" spans="1:20" ht="24" customHeight="1" thickBot="1" x14ac:dyDescent="0.4">
      <c r="A1" s="10" t="s">
        <v>56</v>
      </c>
    </row>
    <row r="2" spans="1:20" s="17" customFormat="1" ht="14.25" thickTop="1" thickBot="1" x14ac:dyDescent="0.25">
      <c r="A2" s="16" t="s">
        <v>0</v>
      </c>
      <c r="B2" s="17" t="s">
        <v>16</v>
      </c>
      <c r="C2" s="18" t="s">
        <v>1</v>
      </c>
      <c r="D2" s="18" t="s">
        <v>2</v>
      </c>
      <c r="E2" s="18" t="s">
        <v>3</v>
      </c>
      <c r="F2" s="18" t="s">
        <v>4</v>
      </c>
      <c r="G2" s="18" t="s">
        <v>5</v>
      </c>
      <c r="H2" s="18" t="s">
        <v>6</v>
      </c>
      <c r="I2" s="18" t="s">
        <v>7</v>
      </c>
      <c r="J2" s="18" t="s">
        <v>8</v>
      </c>
      <c r="K2" s="18" t="s">
        <v>9</v>
      </c>
      <c r="L2" s="18" t="s">
        <v>10</v>
      </c>
      <c r="M2" s="18" t="s">
        <v>11</v>
      </c>
      <c r="N2" s="18" t="s">
        <v>64</v>
      </c>
      <c r="O2" s="18" t="s">
        <v>65</v>
      </c>
      <c r="P2" s="18" t="s">
        <v>12</v>
      </c>
      <c r="Q2" s="18" t="s">
        <v>13</v>
      </c>
      <c r="R2" s="18" t="s">
        <v>14</v>
      </c>
      <c r="S2" s="18" t="s">
        <v>15</v>
      </c>
    </row>
    <row r="3" spans="1:20" ht="13.5" thickTop="1" x14ac:dyDescent="0.2">
      <c r="A3" s="1" t="s">
        <v>31</v>
      </c>
      <c r="B3" s="3">
        <f>SUM(Table135[[#This Row],[CARSON CITY]:[WHITE PINE]])</f>
        <v>85817.84</v>
      </c>
      <c r="C3" s="4">
        <v>1891</v>
      </c>
      <c r="D3" s="4">
        <v>440</v>
      </c>
      <c r="E3" s="4">
        <v>68010</v>
      </c>
      <c r="F3" s="4">
        <v>606</v>
      </c>
      <c r="G3" s="4">
        <v>936</v>
      </c>
      <c r="H3" s="4">
        <v>0</v>
      </c>
      <c r="I3" s="4">
        <v>16</v>
      </c>
      <c r="J3" s="4">
        <v>607</v>
      </c>
      <c r="K3" s="4">
        <v>124</v>
      </c>
      <c r="L3" s="4">
        <v>31</v>
      </c>
      <c r="M3" s="4">
        <v>1696</v>
      </c>
      <c r="N3" s="4">
        <v>60</v>
      </c>
      <c r="O3" s="4">
        <v>790</v>
      </c>
      <c r="P3" s="4">
        <v>149</v>
      </c>
      <c r="Q3" s="4">
        <v>151</v>
      </c>
      <c r="R3" s="4">
        <v>10174.84</v>
      </c>
      <c r="S3" s="4">
        <v>136</v>
      </c>
    </row>
    <row r="4" spans="1:20" x14ac:dyDescent="0.2">
      <c r="A4" s="1" t="s">
        <v>36</v>
      </c>
      <c r="B4" s="3">
        <f>SUM(Table135[[#This Row],[CARSON CITY]:[WHITE PINE]])</f>
        <v>100269587.57000002</v>
      </c>
      <c r="C4" s="4">
        <v>1386630.01</v>
      </c>
      <c r="D4" s="4">
        <v>451039.61</v>
      </c>
      <c r="E4" s="4">
        <v>73534835.680000007</v>
      </c>
      <c r="F4" s="4">
        <v>2501996.23</v>
      </c>
      <c r="G4" s="4">
        <v>1257269.06</v>
      </c>
      <c r="H4" s="4">
        <v>5167.3599999999997</v>
      </c>
      <c r="I4" s="4">
        <v>206380.82</v>
      </c>
      <c r="J4" s="4">
        <v>476471.91</v>
      </c>
      <c r="K4" s="4">
        <v>154145.18</v>
      </c>
      <c r="L4" s="4">
        <v>52064.36</v>
      </c>
      <c r="M4" s="4">
        <v>1530883.46</v>
      </c>
      <c r="N4" s="4">
        <v>18788.87</v>
      </c>
      <c r="O4" s="4">
        <v>1040618.29</v>
      </c>
      <c r="P4" s="4">
        <v>152053.9</v>
      </c>
      <c r="Q4" s="4">
        <v>310341.99</v>
      </c>
      <c r="R4" s="4">
        <v>17093009</v>
      </c>
      <c r="S4" s="4">
        <v>97891.839999999997</v>
      </c>
    </row>
    <row r="5" spans="1:20" x14ac:dyDescent="0.2">
      <c r="A5" s="1" t="s">
        <v>29</v>
      </c>
      <c r="B5" s="3">
        <f>SUM(Table135[[#This Row],[CARSON CITY]:[WHITE PINE]])</f>
        <v>4110469.15</v>
      </c>
      <c r="C5" s="4">
        <v>588251.94999999995</v>
      </c>
      <c r="D5" s="4">
        <v>192751.9</v>
      </c>
      <c r="E5" s="4">
        <v>0</v>
      </c>
      <c r="F5" s="4">
        <v>1069229.1499999999</v>
      </c>
      <c r="G5" s="4">
        <v>537290.05000000005</v>
      </c>
      <c r="H5" s="4">
        <v>2188.25</v>
      </c>
      <c r="I5" s="4">
        <v>88196.9</v>
      </c>
      <c r="J5" s="4">
        <v>203620.45</v>
      </c>
      <c r="K5" s="4">
        <v>65874.05</v>
      </c>
      <c r="L5" s="4">
        <v>22249.7</v>
      </c>
      <c r="M5" s="4">
        <v>654223.9</v>
      </c>
      <c r="N5" s="4">
        <v>8234.4</v>
      </c>
      <c r="O5" s="4">
        <v>444709.1</v>
      </c>
      <c r="P5" s="4">
        <v>64980.3</v>
      </c>
      <c r="Q5" s="4">
        <v>126834.95</v>
      </c>
      <c r="R5" s="4">
        <v>0</v>
      </c>
      <c r="S5" s="4">
        <v>41834.1</v>
      </c>
    </row>
    <row r="6" spans="1:20" x14ac:dyDescent="0.2">
      <c r="A6" s="1" t="s">
        <v>30</v>
      </c>
      <c r="B6" s="3">
        <f>SUM(Table135[[#This Row],[CARSON CITY]:[WHITE PINE]])</f>
        <v>754987.19999999984</v>
      </c>
      <c r="C6" s="4">
        <v>107697.60000000001</v>
      </c>
      <c r="D6" s="4">
        <v>35045.800000000003</v>
      </c>
      <c r="E6" s="4">
        <v>0</v>
      </c>
      <c r="F6" s="4">
        <v>194405.3</v>
      </c>
      <c r="G6" s="4">
        <v>97689.1</v>
      </c>
      <c r="H6" s="4">
        <v>401.5</v>
      </c>
      <c r="I6" s="4">
        <v>16035.8</v>
      </c>
      <c r="J6" s="4">
        <v>37021.9</v>
      </c>
      <c r="K6" s="4">
        <v>11977.1</v>
      </c>
      <c r="L6" s="4">
        <v>4045.4</v>
      </c>
      <c r="M6" s="4">
        <v>118949.8</v>
      </c>
      <c r="N6" s="4">
        <v>1537.45</v>
      </c>
      <c r="O6" s="4">
        <v>80856.2</v>
      </c>
      <c r="P6" s="4">
        <v>11814.6</v>
      </c>
      <c r="Q6" s="4">
        <v>29903.45</v>
      </c>
      <c r="R6" s="4">
        <v>0</v>
      </c>
      <c r="S6" s="4">
        <v>7606.2</v>
      </c>
    </row>
    <row r="7" spans="1:20" x14ac:dyDescent="0.2">
      <c r="A7" s="1" t="s">
        <v>40</v>
      </c>
      <c r="B7" s="3">
        <f>SUM(Table135[[#This Row],[CARSON CITY]:[WHITE PINE]])</f>
        <v>1437555.5</v>
      </c>
      <c r="C7" s="4">
        <v>0</v>
      </c>
      <c r="D7" s="4">
        <v>35045.800000000003</v>
      </c>
      <c r="E7" s="4">
        <v>172449.4</v>
      </c>
      <c r="F7" s="4">
        <v>0</v>
      </c>
      <c r="G7" s="4">
        <v>0</v>
      </c>
      <c r="H7" s="4">
        <v>0</v>
      </c>
      <c r="I7" s="4">
        <v>0</v>
      </c>
      <c r="J7" s="4">
        <v>0</v>
      </c>
      <c r="K7" s="4">
        <v>0</v>
      </c>
      <c r="L7" s="4">
        <v>0</v>
      </c>
      <c r="M7" s="4">
        <v>0</v>
      </c>
      <c r="N7" s="4">
        <v>0</v>
      </c>
      <c r="O7" s="4">
        <v>0</v>
      </c>
      <c r="P7" s="4">
        <v>0</v>
      </c>
      <c r="Q7" s="4">
        <v>0</v>
      </c>
      <c r="R7" s="4">
        <v>1230060.3</v>
      </c>
      <c r="S7" s="4">
        <v>0</v>
      </c>
    </row>
    <row r="8" spans="1:20" x14ac:dyDescent="0.2">
      <c r="A8" s="1" t="s">
        <v>41</v>
      </c>
      <c r="B8" s="3">
        <f>SUM(Table135[[#This Row],[CARSON CITY]:[WHITE PINE]])</f>
        <v>4554148.04</v>
      </c>
      <c r="C8" s="4">
        <v>0</v>
      </c>
      <c r="D8" s="4">
        <v>163225.10999999999</v>
      </c>
      <c r="E8" s="4">
        <v>64355.03</v>
      </c>
      <c r="F8" s="4">
        <v>0</v>
      </c>
      <c r="G8" s="4">
        <v>0</v>
      </c>
      <c r="H8" s="4">
        <v>0</v>
      </c>
      <c r="I8" s="4">
        <v>0</v>
      </c>
      <c r="J8" s="4">
        <v>0</v>
      </c>
      <c r="K8" s="4">
        <v>0</v>
      </c>
      <c r="L8" s="4">
        <v>0</v>
      </c>
      <c r="M8" s="4">
        <v>0</v>
      </c>
      <c r="N8" s="4">
        <v>0</v>
      </c>
      <c r="O8" s="4">
        <v>0</v>
      </c>
      <c r="P8" s="4">
        <v>0</v>
      </c>
      <c r="Q8" s="4">
        <v>0</v>
      </c>
      <c r="R8" s="4">
        <v>4326567.9000000004</v>
      </c>
      <c r="S8" s="4">
        <v>0</v>
      </c>
    </row>
    <row r="9" spans="1:20" x14ac:dyDescent="0.2">
      <c r="A9" s="1" t="s">
        <v>18</v>
      </c>
      <c r="B9" s="3">
        <f>SUM(Table135[[#This Row],[CARSON CITY]:[WHITE PINE]])</f>
        <v>2867038.9899999998</v>
      </c>
      <c r="C9" s="4">
        <v>7612.56</v>
      </c>
      <c r="D9" s="4">
        <v>4621.12</v>
      </c>
      <c r="E9" s="4">
        <v>1286768.45</v>
      </c>
      <c r="F9" s="4">
        <v>21544.720000000001</v>
      </c>
      <c r="G9" s="4">
        <v>276874.67</v>
      </c>
      <c r="H9" s="4">
        <v>7827.26</v>
      </c>
      <c r="I9" s="4">
        <v>286190.78000000003</v>
      </c>
      <c r="J9" s="4">
        <v>258098.29</v>
      </c>
      <c r="K9" s="4">
        <v>157445.18</v>
      </c>
      <c r="L9" s="4">
        <v>61831.1</v>
      </c>
      <c r="M9" s="4">
        <v>248348.12</v>
      </c>
      <c r="N9" s="4">
        <v>0</v>
      </c>
      <c r="O9" s="4">
        <v>87725.759999999995</v>
      </c>
      <c r="P9" s="4">
        <v>110350.58</v>
      </c>
      <c r="Q9" s="4">
        <v>0</v>
      </c>
      <c r="R9" s="4">
        <v>29480.35</v>
      </c>
      <c r="S9" s="4">
        <v>22320.05</v>
      </c>
    </row>
    <row r="10" spans="1:20" x14ac:dyDescent="0.2">
      <c r="A10" s="1" t="s">
        <v>19</v>
      </c>
      <c r="B10" s="3">
        <f>SUM(Table135[[#This Row],[CARSON CITY]:[WHITE PINE]])</f>
        <v>267159</v>
      </c>
      <c r="C10" s="4">
        <v>2247</v>
      </c>
      <c r="D10" s="4">
        <v>728</v>
      </c>
      <c r="E10" s="4">
        <v>235004</v>
      </c>
      <c r="F10" s="4">
        <v>2148</v>
      </c>
      <c r="G10" s="4">
        <v>1556</v>
      </c>
      <c r="H10" s="4">
        <v>28</v>
      </c>
      <c r="I10" s="4">
        <v>44</v>
      </c>
      <c r="J10" s="4">
        <v>440</v>
      </c>
      <c r="K10" s="4">
        <v>188</v>
      </c>
      <c r="L10" s="4">
        <v>64</v>
      </c>
      <c r="M10" s="4">
        <v>296</v>
      </c>
      <c r="N10" s="4">
        <v>88</v>
      </c>
      <c r="O10" s="4">
        <v>724</v>
      </c>
      <c r="P10" s="4">
        <v>164</v>
      </c>
      <c r="Q10" s="4">
        <v>552</v>
      </c>
      <c r="R10" s="4">
        <v>22516</v>
      </c>
      <c r="S10" s="4">
        <v>372</v>
      </c>
    </row>
    <row r="11" spans="1:20" x14ac:dyDescent="0.2">
      <c r="A11" s="1" t="s">
        <v>20</v>
      </c>
      <c r="B11" s="3">
        <f>SUM(Table135[[#This Row],[CARSON CITY]:[WHITE PINE]])</f>
        <v>1226220.19</v>
      </c>
      <c r="C11" s="4">
        <v>13945.25</v>
      </c>
      <c r="D11" s="4">
        <v>20928</v>
      </c>
      <c r="E11" s="4">
        <v>975124.2</v>
      </c>
      <c r="F11" s="4">
        <v>20688.740000000002</v>
      </c>
      <c r="G11" s="4">
        <v>12416</v>
      </c>
      <c r="H11" s="4">
        <v>544</v>
      </c>
      <c r="I11" s="4">
        <v>512</v>
      </c>
      <c r="J11" s="4">
        <v>9888</v>
      </c>
      <c r="K11" s="4">
        <v>0</v>
      </c>
      <c r="L11" s="4">
        <v>1844</v>
      </c>
      <c r="M11" s="4">
        <v>17088</v>
      </c>
      <c r="N11" s="4">
        <v>1312</v>
      </c>
      <c r="O11" s="4">
        <v>22560</v>
      </c>
      <c r="P11" s="4">
        <v>1248</v>
      </c>
      <c r="Q11" s="4">
        <v>1184</v>
      </c>
      <c r="R11" s="4">
        <v>123316</v>
      </c>
      <c r="S11" s="4">
        <v>3622</v>
      </c>
    </row>
    <row r="12" spans="1:20" x14ac:dyDescent="0.2">
      <c r="A12" s="1" t="s">
        <v>32</v>
      </c>
      <c r="B12" s="3">
        <f>SUM(Table135[[#This Row],[CARSON CITY]:[WHITE PINE]])</f>
        <v>572.93000000000006</v>
      </c>
      <c r="C12" s="4">
        <v>0</v>
      </c>
      <c r="D12" s="4">
        <v>0</v>
      </c>
      <c r="E12" s="4">
        <v>0</v>
      </c>
      <c r="F12" s="4">
        <v>0</v>
      </c>
      <c r="G12" s="4">
        <v>0</v>
      </c>
      <c r="H12" s="4">
        <v>276.31</v>
      </c>
      <c r="I12" s="4">
        <v>0</v>
      </c>
      <c r="J12" s="4">
        <v>0</v>
      </c>
      <c r="K12" s="4">
        <v>0</v>
      </c>
      <c r="L12" s="4">
        <v>0</v>
      </c>
      <c r="M12" s="4">
        <v>296.62</v>
      </c>
      <c r="N12" s="4">
        <v>0</v>
      </c>
      <c r="O12" s="4">
        <v>0</v>
      </c>
      <c r="P12" s="4">
        <v>0</v>
      </c>
      <c r="Q12" s="4">
        <v>0</v>
      </c>
      <c r="R12" s="4">
        <v>0</v>
      </c>
      <c r="S12" s="4">
        <v>0</v>
      </c>
      <c r="T12" s="4"/>
    </row>
    <row r="13" spans="1:20" x14ac:dyDescent="0.2">
      <c r="A13" s="1" t="s">
        <v>17</v>
      </c>
      <c r="B13" s="3">
        <f>SUM(Table135[[#This Row],[CARSON CITY]:[WHITE PINE]])</f>
        <v>378612.44</v>
      </c>
      <c r="C13" s="4">
        <v>8700</v>
      </c>
      <c r="D13" s="4">
        <v>15360</v>
      </c>
      <c r="E13" s="4">
        <v>274214.44</v>
      </c>
      <c r="F13" s="4">
        <v>7800</v>
      </c>
      <c r="G13" s="4">
        <v>3780</v>
      </c>
      <c r="H13" s="4">
        <v>40</v>
      </c>
      <c r="I13" s="4">
        <v>90</v>
      </c>
      <c r="J13" s="4">
        <v>6660</v>
      </c>
      <c r="K13" s="4">
        <v>0</v>
      </c>
      <c r="L13" s="4">
        <v>510</v>
      </c>
      <c r="M13" s="4">
        <v>5550</v>
      </c>
      <c r="N13" s="4">
        <v>260</v>
      </c>
      <c r="O13" s="4">
        <v>10240</v>
      </c>
      <c r="P13" s="4">
        <v>240</v>
      </c>
      <c r="Q13" s="4">
        <v>408</v>
      </c>
      <c r="R13" s="4">
        <v>43470</v>
      </c>
      <c r="S13" s="4">
        <v>1290</v>
      </c>
    </row>
    <row r="14" spans="1:20" x14ac:dyDescent="0.2">
      <c r="A14" s="1" t="s">
        <v>21</v>
      </c>
      <c r="B14" s="3">
        <f>SUM(Table135[[#This Row],[CARSON CITY]:[WHITE PINE]])</f>
        <v>18021973.470000003</v>
      </c>
      <c r="C14" s="4">
        <v>120655.74</v>
      </c>
      <c r="D14" s="4">
        <v>224205</v>
      </c>
      <c r="E14" s="4">
        <v>13434959.26</v>
      </c>
      <c r="F14" s="4">
        <v>149292.29999999999</v>
      </c>
      <c r="G14" s="4">
        <v>361083.65</v>
      </c>
      <c r="H14" s="4">
        <v>8399.3799999999992</v>
      </c>
      <c r="I14" s="4">
        <v>169724.19</v>
      </c>
      <c r="J14" s="4">
        <v>204203.16</v>
      </c>
      <c r="K14" s="4">
        <v>485852.83</v>
      </c>
      <c r="L14" s="4">
        <v>8434.94</v>
      </c>
      <c r="M14" s="4">
        <v>218288.63</v>
      </c>
      <c r="N14" s="4">
        <v>112640.6</v>
      </c>
      <c r="O14" s="4">
        <v>476092.25</v>
      </c>
      <c r="P14" s="4">
        <v>100204.49</v>
      </c>
      <c r="Q14" s="4">
        <v>284678.99</v>
      </c>
      <c r="R14" s="4">
        <v>1422268.54</v>
      </c>
      <c r="S14" s="4">
        <v>240989.52</v>
      </c>
    </row>
    <row r="15" spans="1:20" x14ac:dyDescent="0.2">
      <c r="A15" s="1" t="s">
        <v>22</v>
      </c>
      <c r="B15" s="3">
        <f>SUM(Table135[[#This Row],[CARSON CITY]:[WHITE PINE]])</f>
        <v>147554779.45000002</v>
      </c>
      <c r="C15" s="4">
        <v>2266569.66</v>
      </c>
      <c r="D15" s="4">
        <v>844898.77</v>
      </c>
      <c r="E15" s="4">
        <v>105129942.5</v>
      </c>
      <c r="F15" s="4">
        <v>4846147.9400000004</v>
      </c>
      <c r="G15" s="4">
        <v>2159714.4300000002</v>
      </c>
      <c r="H15" s="4">
        <v>52264.44</v>
      </c>
      <c r="I15" s="4">
        <v>999297.31</v>
      </c>
      <c r="J15" s="4">
        <v>902157.48</v>
      </c>
      <c r="K15" s="4">
        <v>364796.45</v>
      </c>
      <c r="L15" s="4">
        <v>254813.37</v>
      </c>
      <c r="M15" s="4">
        <v>2072923.86</v>
      </c>
      <c r="N15" s="4">
        <v>103302.91</v>
      </c>
      <c r="O15" s="4">
        <v>1705302.42</v>
      </c>
      <c r="P15" s="4">
        <v>169171.64</v>
      </c>
      <c r="Q15" s="4">
        <v>729663.26</v>
      </c>
      <c r="R15" s="4">
        <v>24659817.870000001</v>
      </c>
      <c r="S15" s="4">
        <v>293995.14</v>
      </c>
    </row>
    <row r="16" spans="1:20" x14ac:dyDescent="0.2">
      <c r="A16" s="1" t="s">
        <v>38</v>
      </c>
      <c r="B16" s="3">
        <f>SUM(Table135[[#This Row],[CARSON CITY]:[WHITE PINE]])</f>
        <v>9787342.2400000021</v>
      </c>
      <c r="C16" s="4">
        <v>140134</v>
      </c>
      <c r="D16" s="4">
        <v>49147.03</v>
      </c>
      <c r="E16" s="4">
        <v>6805724</v>
      </c>
      <c r="F16" s="4">
        <v>250000</v>
      </c>
      <c r="G16" s="4">
        <v>203543.96</v>
      </c>
      <c r="H16" s="4">
        <v>6660.87</v>
      </c>
      <c r="I16" s="4">
        <v>122087.16</v>
      </c>
      <c r="J16" s="4">
        <v>145110.65</v>
      </c>
      <c r="K16" s="4">
        <v>121517.89</v>
      </c>
      <c r="L16" s="4">
        <v>23317.65</v>
      </c>
      <c r="M16" s="4">
        <v>123176.84</v>
      </c>
      <c r="N16" s="4">
        <v>15509.32</v>
      </c>
      <c r="O16" s="4">
        <v>150000</v>
      </c>
      <c r="P16" s="4">
        <v>25483.18</v>
      </c>
      <c r="Q16" s="4">
        <v>11520</v>
      </c>
      <c r="R16" s="4">
        <v>1569772.46</v>
      </c>
      <c r="S16" s="4">
        <v>24637.23</v>
      </c>
    </row>
    <row r="17" spans="1:19" x14ac:dyDescent="0.2">
      <c r="A17" s="1" t="s">
        <v>23</v>
      </c>
      <c r="B17" s="3">
        <f>SUM(Table135[[#This Row],[CARSON CITY]:[WHITE PINE]])</f>
        <v>15144694.420000002</v>
      </c>
      <c r="C17" s="4">
        <v>214035.1</v>
      </c>
      <c r="D17" s="4">
        <v>111537.78</v>
      </c>
      <c r="E17" s="4">
        <v>10450397.199999999</v>
      </c>
      <c r="F17" s="4">
        <v>446331.38</v>
      </c>
      <c r="G17" s="4">
        <v>305455.05</v>
      </c>
      <c r="H17" s="4">
        <v>13982.2</v>
      </c>
      <c r="I17" s="4">
        <v>215884.41</v>
      </c>
      <c r="J17" s="4">
        <v>217663.14</v>
      </c>
      <c r="K17" s="4">
        <v>182250.48</v>
      </c>
      <c r="L17" s="4">
        <v>34973.5</v>
      </c>
      <c r="M17" s="4">
        <v>184765.25</v>
      </c>
      <c r="N17" s="4">
        <v>14913.49</v>
      </c>
      <c r="O17" s="4">
        <v>196819</v>
      </c>
      <c r="P17" s="4">
        <v>38234.639999999999</v>
      </c>
      <c r="Q17" s="4">
        <v>104616.03</v>
      </c>
      <c r="R17" s="4">
        <v>2351266.4300000002</v>
      </c>
      <c r="S17" s="4">
        <v>61569.34</v>
      </c>
    </row>
    <row r="18" spans="1:19" x14ac:dyDescent="0.2">
      <c r="A18" s="1" t="s">
        <v>42</v>
      </c>
      <c r="B18" s="3">
        <f>SUM(Table135[[#This Row],[CARSON CITY]:[WHITE PINE]])</f>
        <v>20091759.190000001</v>
      </c>
      <c r="C18" s="4">
        <v>0</v>
      </c>
      <c r="D18" s="4">
        <v>0</v>
      </c>
      <c r="E18" s="4">
        <v>15389255.4</v>
      </c>
      <c r="F18" s="4">
        <v>0</v>
      </c>
      <c r="G18" s="4">
        <v>0</v>
      </c>
      <c r="H18" s="4">
        <v>0</v>
      </c>
      <c r="I18" s="4">
        <v>0</v>
      </c>
      <c r="J18" s="4">
        <v>0</v>
      </c>
      <c r="K18" s="4">
        <v>0</v>
      </c>
      <c r="L18" s="4">
        <v>0</v>
      </c>
      <c r="M18" s="4">
        <v>0</v>
      </c>
      <c r="N18" s="4">
        <v>0</v>
      </c>
      <c r="O18" s="4">
        <v>0</v>
      </c>
      <c r="P18" s="4">
        <v>0</v>
      </c>
      <c r="Q18" s="4">
        <v>0</v>
      </c>
      <c r="R18" s="4">
        <v>4702503.79</v>
      </c>
      <c r="S18" s="4">
        <v>0</v>
      </c>
    </row>
    <row r="19" spans="1:19" x14ac:dyDescent="0.2">
      <c r="A19" s="1" t="s">
        <v>43</v>
      </c>
      <c r="B19" s="3">
        <f>SUM(Table135[[#This Row],[CARSON CITY]:[WHITE PINE]])</f>
        <v>1201.46</v>
      </c>
      <c r="C19" s="4">
        <v>0</v>
      </c>
      <c r="D19" s="4">
        <v>80.16</v>
      </c>
      <c r="E19" s="4">
        <v>0</v>
      </c>
      <c r="F19" s="4">
        <v>0</v>
      </c>
      <c r="G19" s="4">
        <v>0</v>
      </c>
      <c r="H19" s="4">
        <v>0</v>
      </c>
      <c r="I19" s="4">
        <v>0</v>
      </c>
      <c r="J19" s="4">
        <v>0</v>
      </c>
      <c r="K19" s="4">
        <v>0</v>
      </c>
      <c r="L19" s="4">
        <v>0</v>
      </c>
      <c r="M19" s="4">
        <v>0</v>
      </c>
      <c r="N19" s="4">
        <v>0</v>
      </c>
      <c r="O19" s="4">
        <v>1121.3</v>
      </c>
      <c r="P19" s="4">
        <v>0</v>
      </c>
      <c r="Q19" s="4">
        <v>0</v>
      </c>
      <c r="R19" s="4">
        <v>0</v>
      </c>
      <c r="S19" s="4">
        <v>0</v>
      </c>
    </row>
    <row r="20" spans="1:19" x14ac:dyDescent="0.2">
      <c r="A20" s="1" t="s">
        <v>44</v>
      </c>
      <c r="B20" s="3">
        <f>SUM(Table135[[#This Row],[CARSON CITY]:[WHITE PINE]])</f>
        <v>0</v>
      </c>
      <c r="C20" s="4">
        <v>0</v>
      </c>
      <c r="D20" s="4">
        <v>0</v>
      </c>
      <c r="E20" s="4">
        <v>0</v>
      </c>
      <c r="F20" s="4">
        <v>0</v>
      </c>
      <c r="G20" s="4">
        <v>0</v>
      </c>
      <c r="H20" s="4">
        <v>0</v>
      </c>
      <c r="I20" s="4">
        <v>0</v>
      </c>
      <c r="J20" s="4">
        <v>0</v>
      </c>
      <c r="K20" s="4">
        <v>0</v>
      </c>
      <c r="L20" s="4">
        <v>0</v>
      </c>
      <c r="M20" s="4">
        <v>0</v>
      </c>
      <c r="N20" s="4">
        <v>0</v>
      </c>
      <c r="O20" s="4">
        <v>0</v>
      </c>
      <c r="P20" s="4">
        <v>0</v>
      </c>
      <c r="Q20" s="4">
        <v>0</v>
      </c>
      <c r="R20" s="4">
        <v>0</v>
      </c>
      <c r="S20" s="4">
        <v>0</v>
      </c>
    </row>
    <row r="21" spans="1:19" x14ac:dyDescent="0.2">
      <c r="A21" s="1" t="s">
        <v>62</v>
      </c>
      <c r="B21" s="3">
        <f>SUM(Table135[[#This Row],[CARSON CITY]:[WHITE PINE]])</f>
        <v>0</v>
      </c>
      <c r="C21" s="4">
        <v>0</v>
      </c>
      <c r="D21" s="4">
        <v>0</v>
      </c>
      <c r="E21" s="4">
        <v>0</v>
      </c>
      <c r="F21" s="4">
        <v>0</v>
      </c>
      <c r="G21" s="4">
        <v>0</v>
      </c>
      <c r="H21" s="4">
        <v>0</v>
      </c>
      <c r="I21" s="4">
        <v>0</v>
      </c>
      <c r="J21" s="4">
        <v>0</v>
      </c>
      <c r="K21" s="4">
        <v>0</v>
      </c>
      <c r="L21" s="4">
        <v>0</v>
      </c>
      <c r="M21" s="4">
        <v>0</v>
      </c>
      <c r="N21" s="4">
        <v>0</v>
      </c>
      <c r="O21" s="4">
        <v>0</v>
      </c>
      <c r="P21" s="4">
        <v>0</v>
      </c>
      <c r="Q21" s="4">
        <v>0</v>
      </c>
      <c r="R21" s="4">
        <v>0</v>
      </c>
      <c r="S21" s="4">
        <v>0</v>
      </c>
    </row>
    <row r="22" spans="1:19" x14ac:dyDescent="0.2">
      <c r="A22" s="1" t="s">
        <v>24</v>
      </c>
      <c r="B22" s="3">
        <f>SUM(Table135[[#This Row],[CARSON CITY]:[WHITE PINE]])</f>
        <v>52713.3</v>
      </c>
      <c r="C22" s="4">
        <v>1605</v>
      </c>
      <c r="D22" s="4">
        <v>2016.61</v>
      </c>
      <c r="E22" s="4">
        <v>26286.48</v>
      </c>
      <c r="F22" s="4">
        <v>2352.84</v>
      </c>
      <c r="G22" s="4">
        <v>3471.02</v>
      </c>
      <c r="H22" s="4">
        <v>25</v>
      </c>
      <c r="I22" s="4">
        <v>60</v>
      </c>
      <c r="J22" s="4">
        <v>1021.76</v>
      </c>
      <c r="K22" s="4">
        <v>314</v>
      </c>
      <c r="L22" s="4">
        <v>170</v>
      </c>
      <c r="M22" s="4">
        <v>1622.04</v>
      </c>
      <c r="N22" s="4">
        <v>985</v>
      </c>
      <c r="O22" s="4">
        <v>811.2</v>
      </c>
      <c r="P22" s="4">
        <v>660</v>
      </c>
      <c r="Q22" s="4">
        <v>120</v>
      </c>
      <c r="R22" s="4">
        <v>10297.52</v>
      </c>
      <c r="S22" s="4">
        <v>894.83</v>
      </c>
    </row>
    <row r="23" spans="1:19" x14ac:dyDescent="0.2">
      <c r="A23" s="1" t="s">
        <v>45</v>
      </c>
      <c r="B23" s="3">
        <f>SUM(Table135[[#This Row],[CARSON CITY]:[WHITE PINE]])</f>
        <v>58763.74</v>
      </c>
      <c r="C23" s="4">
        <v>1698.82</v>
      </c>
      <c r="D23" s="21">
        <f>617+222</f>
        <v>839</v>
      </c>
      <c r="E23" s="24">
        <f>420+617+7165+23497.51+675+705+210+8408</f>
        <v>41697.509999999995</v>
      </c>
      <c r="F23" s="21">
        <f>630+595</f>
        <v>1225</v>
      </c>
      <c r="G23" s="21">
        <f>210+490+15+125</f>
        <v>840</v>
      </c>
      <c r="H23" s="4">
        <v>5</v>
      </c>
      <c r="I23" s="4">
        <v>70</v>
      </c>
      <c r="J23" s="4">
        <v>225</v>
      </c>
      <c r="K23" s="21">
        <f>175+225</f>
        <v>400</v>
      </c>
      <c r="L23" s="4">
        <v>310</v>
      </c>
      <c r="M23" s="21">
        <f>200+315+210+65+58.94</f>
        <v>848.94</v>
      </c>
      <c r="N23" s="21">
        <f>35+560</f>
        <v>595</v>
      </c>
      <c r="O23" s="21">
        <f>140+945+245</f>
        <v>1330</v>
      </c>
      <c r="P23" s="4">
        <v>315</v>
      </c>
      <c r="Q23" s="4">
        <v>130</v>
      </c>
      <c r="R23" s="21">
        <f>1760+520+5429.47</f>
        <v>7709.47</v>
      </c>
      <c r="S23" s="21">
        <f>330+195</f>
        <v>525</v>
      </c>
    </row>
    <row r="24" spans="1:19" x14ac:dyDescent="0.2">
      <c r="A24" s="1" t="s">
        <v>25</v>
      </c>
      <c r="B24" s="3">
        <f>SUM(Table135[[#This Row],[CARSON CITY]:[WHITE PINE]])</f>
        <v>144113.49</v>
      </c>
      <c r="C24" s="4">
        <v>13654</v>
      </c>
      <c r="D24" s="4">
        <v>5120</v>
      </c>
      <c r="E24" s="4">
        <v>94698.49</v>
      </c>
      <c r="F24" s="4">
        <v>2600</v>
      </c>
      <c r="G24" s="4">
        <v>1260</v>
      </c>
      <c r="H24" s="4">
        <v>0</v>
      </c>
      <c r="I24" s="4">
        <v>20</v>
      </c>
      <c r="J24" s="4">
        <v>2220</v>
      </c>
      <c r="K24" s="4">
        <v>3390</v>
      </c>
      <c r="L24" s="4">
        <v>140</v>
      </c>
      <c r="M24" s="4">
        <v>1850</v>
      </c>
      <c r="N24" s="4">
        <v>140</v>
      </c>
      <c r="O24" s="4">
        <v>3680</v>
      </c>
      <c r="P24" s="4">
        <v>180</v>
      </c>
      <c r="Q24" s="4">
        <v>140</v>
      </c>
      <c r="R24" s="4">
        <v>15021</v>
      </c>
      <c r="S24" s="4">
        <v>0</v>
      </c>
    </row>
    <row r="25" spans="1:19" x14ac:dyDescent="0.2">
      <c r="A25" s="1" t="s">
        <v>26</v>
      </c>
      <c r="B25" s="3">
        <f>SUM(Table135[[#This Row],[CARSON CITY]:[WHITE PINE]])</f>
        <v>3871015.9399999995</v>
      </c>
      <c r="C25" s="4">
        <v>70091</v>
      </c>
      <c r="D25" s="4">
        <v>55512.65</v>
      </c>
      <c r="E25" s="4">
        <v>2175128.67</v>
      </c>
      <c r="F25" s="4">
        <v>55568.01</v>
      </c>
      <c r="G25" s="4">
        <v>99971.85</v>
      </c>
      <c r="H25" s="4">
        <v>59880</v>
      </c>
      <c r="I25" s="4">
        <v>8347</v>
      </c>
      <c r="J25" s="4">
        <v>0</v>
      </c>
      <c r="K25" s="4">
        <v>1240</v>
      </c>
      <c r="L25" s="4">
        <v>20914.28</v>
      </c>
      <c r="M25" s="4">
        <v>74912.87</v>
      </c>
      <c r="N25" s="4">
        <v>1586.01</v>
      </c>
      <c r="O25" s="4">
        <v>351682.47</v>
      </c>
      <c r="P25" s="4">
        <v>2155</v>
      </c>
      <c r="Q25" s="4">
        <v>6093</v>
      </c>
      <c r="R25" s="4">
        <v>882423.13</v>
      </c>
      <c r="S25" s="4">
        <v>5510</v>
      </c>
    </row>
    <row r="26" spans="1:19" x14ac:dyDescent="0.2">
      <c r="A26" s="1" t="s">
        <v>27</v>
      </c>
      <c r="B26" s="3">
        <f>SUM(Table135[[#This Row],[CARSON CITY]:[WHITE PINE]])</f>
        <v>486487.39999999991</v>
      </c>
      <c r="C26" s="4">
        <v>34266.97</v>
      </c>
      <c r="D26" s="4">
        <v>16247.67</v>
      </c>
      <c r="E26" s="4">
        <v>218642.81</v>
      </c>
      <c r="F26" s="4">
        <v>21276.799999999999</v>
      </c>
      <c r="G26" s="4">
        <v>35385.19</v>
      </c>
      <c r="H26" s="4">
        <v>1</v>
      </c>
      <c r="I26" s="4">
        <v>10</v>
      </c>
      <c r="J26" s="4">
        <v>8076.92</v>
      </c>
      <c r="K26" s="4">
        <v>6723.67</v>
      </c>
      <c r="L26" s="4">
        <v>1400</v>
      </c>
      <c r="M26" s="4">
        <v>10903.46</v>
      </c>
      <c r="N26" s="4">
        <v>1166.92</v>
      </c>
      <c r="O26" s="4">
        <v>7124.36</v>
      </c>
      <c r="P26" s="4">
        <v>10701.04</v>
      </c>
      <c r="Q26" s="4">
        <v>0</v>
      </c>
      <c r="R26" s="4">
        <v>90772.54</v>
      </c>
      <c r="S26" s="4">
        <v>23788.05</v>
      </c>
    </row>
    <row r="27" spans="1:19" x14ac:dyDescent="0.2">
      <c r="A27" s="1" t="s">
        <v>106</v>
      </c>
      <c r="B27" s="3">
        <f>SUM(Table135[[#This Row],[CARSON CITY]:[WHITE PINE]])</f>
        <v>851614.11</v>
      </c>
      <c r="C27" s="4">
        <v>8420</v>
      </c>
      <c r="D27" s="4">
        <v>0</v>
      </c>
      <c r="E27" s="21">
        <f>690+6115+717150.87+17225.6+19081+48974</f>
        <v>809236.47</v>
      </c>
      <c r="F27" s="4">
        <v>0</v>
      </c>
      <c r="G27" s="4">
        <v>21590</v>
      </c>
      <c r="H27" s="4">
        <v>0</v>
      </c>
      <c r="I27" s="4">
        <v>0</v>
      </c>
      <c r="J27" s="4">
        <v>6587</v>
      </c>
      <c r="K27" s="4">
        <v>0</v>
      </c>
      <c r="L27" s="4">
        <v>0</v>
      </c>
      <c r="M27" s="21">
        <f>5160+620.64</f>
        <v>5780.64</v>
      </c>
      <c r="N27" s="4">
        <v>0</v>
      </c>
      <c r="O27" s="4">
        <v>0</v>
      </c>
      <c r="P27" s="4">
        <v>0</v>
      </c>
      <c r="Q27" s="4">
        <v>0</v>
      </c>
      <c r="R27" s="4">
        <v>0</v>
      </c>
      <c r="S27" s="4">
        <v>0</v>
      </c>
    </row>
    <row r="28" spans="1:19" x14ac:dyDescent="0.2">
      <c r="A28" s="1" t="s">
        <v>39</v>
      </c>
      <c r="B28" s="3">
        <f>SUM(Table135[[#This Row],[CARSON CITY]:[WHITE PINE]])</f>
        <v>1653.04</v>
      </c>
      <c r="C28" s="4">
        <v>0</v>
      </c>
      <c r="D28" s="4">
        <v>0</v>
      </c>
      <c r="E28" s="21">
        <f>550+750</f>
        <v>1300</v>
      </c>
      <c r="F28" s="4">
        <v>0</v>
      </c>
      <c r="G28" s="4">
        <v>0.04</v>
      </c>
      <c r="H28" s="4">
        <v>0</v>
      </c>
      <c r="I28" s="4">
        <v>0</v>
      </c>
      <c r="J28" s="4">
        <v>0</v>
      </c>
      <c r="K28" s="4">
        <v>0</v>
      </c>
      <c r="L28" s="4">
        <v>0</v>
      </c>
      <c r="M28" s="4">
        <v>250</v>
      </c>
      <c r="N28" s="4">
        <v>0</v>
      </c>
      <c r="O28" s="4">
        <v>0</v>
      </c>
      <c r="P28" s="4">
        <v>0</v>
      </c>
      <c r="Q28" s="4">
        <v>0</v>
      </c>
      <c r="R28" s="4">
        <v>0</v>
      </c>
      <c r="S28" s="4">
        <v>103</v>
      </c>
    </row>
    <row r="29" spans="1:19" x14ac:dyDescent="0.2">
      <c r="A29" s="1" t="s">
        <v>58</v>
      </c>
      <c r="B29" s="3">
        <f>SUM(Table135[[#This Row],[CARSON CITY]:[WHITE PINE]])</f>
        <v>77275.509999999995</v>
      </c>
      <c r="C29" s="4">
        <v>860</v>
      </c>
      <c r="D29" s="4">
        <v>30</v>
      </c>
      <c r="E29" s="4">
        <v>67640.509999999995</v>
      </c>
      <c r="F29" s="4">
        <v>1330</v>
      </c>
      <c r="G29" s="4">
        <v>155</v>
      </c>
      <c r="H29" s="4">
        <v>10</v>
      </c>
      <c r="I29" s="4">
        <v>0</v>
      </c>
      <c r="J29" s="4">
        <v>155</v>
      </c>
      <c r="K29" s="4">
        <v>0</v>
      </c>
      <c r="L29" s="4">
        <v>0</v>
      </c>
      <c r="M29" s="4">
        <v>365</v>
      </c>
      <c r="N29" s="4">
        <v>0</v>
      </c>
      <c r="O29" s="4">
        <v>545</v>
      </c>
      <c r="P29" s="4">
        <v>110</v>
      </c>
      <c r="Q29" s="4">
        <v>50</v>
      </c>
      <c r="R29" s="4">
        <v>6005</v>
      </c>
      <c r="S29" s="4">
        <v>20</v>
      </c>
    </row>
    <row r="30" spans="1:19" x14ac:dyDescent="0.2">
      <c r="A30" s="1" t="s">
        <v>59</v>
      </c>
      <c r="B30" s="3">
        <f>SUM(Table135[[#This Row],[CARSON CITY]:[WHITE PINE]])</f>
        <v>39816.21</v>
      </c>
      <c r="C30" s="4">
        <v>625</v>
      </c>
      <c r="D30" s="4">
        <v>15</v>
      </c>
      <c r="E30" s="4">
        <v>33820.269999999997</v>
      </c>
      <c r="F30" s="4">
        <v>710</v>
      </c>
      <c r="G30" s="4">
        <v>85</v>
      </c>
      <c r="H30" s="4">
        <v>5</v>
      </c>
      <c r="I30" s="4">
        <v>0</v>
      </c>
      <c r="J30" s="4">
        <v>115</v>
      </c>
      <c r="K30" s="4">
        <v>0</v>
      </c>
      <c r="L30" s="4">
        <v>0</v>
      </c>
      <c r="M30" s="4">
        <v>220</v>
      </c>
      <c r="N30" s="4">
        <v>0</v>
      </c>
      <c r="O30" s="4">
        <v>540</v>
      </c>
      <c r="P30" s="4">
        <v>25</v>
      </c>
      <c r="Q30" s="4">
        <v>25</v>
      </c>
      <c r="R30" s="4">
        <v>3620.94</v>
      </c>
      <c r="S30" s="4">
        <v>10</v>
      </c>
    </row>
    <row r="31" spans="1:19" x14ac:dyDescent="0.2">
      <c r="A31" s="1" t="s">
        <v>34</v>
      </c>
      <c r="B31" s="3">
        <f>SUM(Table135[[#This Row],[CARSON CITY]:[WHITE PINE]])</f>
        <v>91401.1</v>
      </c>
      <c r="C31" s="4">
        <v>3000</v>
      </c>
      <c r="D31" s="4">
        <v>0</v>
      </c>
      <c r="E31" s="4">
        <v>61476.5</v>
      </c>
      <c r="F31" s="4">
        <v>200</v>
      </c>
      <c r="G31" s="4">
        <v>3200</v>
      </c>
      <c r="H31" s="4">
        <v>0</v>
      </c>
      <c r="I31" s="4">
        <v>0</v>
      </c>
      <c r="J31" s="4">
        <v>0</v>
      </c>
      <c r="K31" s="4">
        <v>0</v>
      </c>
      <c r="L31" s="4">
        <v>0</v>
      </c>
      <c r="M31" s="4">
        <v>0</v>
      </c>
      <c r="N31" s="4">
        <v>0</v>
      </c>
      <c r="O31" s="4">
        <v>0</v>
      </c>
      <c r="P31" s="4">
        <v>0</v>
      </c>
      <c r="Q31" s="4">
        <v>0</v>
      </c>
      <c r="R31" s="4">
        <v>20524.599999999999</v>
      </c>
      <c r="S31" s="4">
        <v>3000</v>
      </c>
    </row>
    <row r="32" spans="1:19" x14ac:dyDescent="0.2">
      <c r="A32" s="1" t="s">
        <v>33</v>
      </c>
      <c r="B32" s="3">
        <f>SUM(Table135[[#This Row],[CARSON CITY]:[WHITE PINE]])</f>
        <v>822609.9</v>
      </c>
      <c r="C32" s="4">
        <v>27000</v>
      </c>
      <c r="D32" s="4">
        <v>0</v>
      </c>
      <c r="E32" s="4">
        <v>553288.5</v>
      </c>
      <c r="F32" s="4">
        <v>1800</v>
      </c>
      <c r="G32" s="4">
        <v>28800</v>
      </c>
      <c r="H32" s="4">
        <v>0</v>
      </c>
      <c r="I32" s="4">
        <v>0</v>
      </c>
      <c r="J32" s="4">
        <v>0</v>
      </c>
      <c r="K32" s="4">
        <v>0</v>
      </c>
      <c r="L32" s="4">
        <v>0</v>
      </c>
      <c r="M32" s="4">
        <v>0</v>
      </c>
      <c r="N32" s="4">
        <v>0</v>
      </c>
      <c r="O32" s="4">
        <v>0</v>
      </c>
      <c r="P32" s="4">
        <v>0</v>
      </c>
      <c r="Q32" s="4">
        <v>0</v>
      </c>
      <c r="R32" s="4">
        <v>184721.4</v>
      </c>
      <c r="S32" s="4">
        <v>27000</v>
      </c>
    </row>
    <row r="33" spans="1:21" x14ac:dyDescent="0.2">
      <c r="A33" s="1" t="s">
        <v>46</v>
      </c>
      <c r="B33" s="3">
        <f>SUM(Table135[[#This Row],[CARSON CITY]:[WHITE PINE]])</f>
        <v>421404.46</v>
      </c>
      <c r="C33" s="4">
        <v>13675</v>
      </c>
      <c r="D33" s="21">
        <v>5800</v>
      </c>
      <c r="E33" s="21">
        <v>316677</v>
      </c>
      <c r="F33" s="21">
        <v>11253</v>
      </c>
      <c r="G33" s="21">
        <v>13030</v>
      </c>
      <c r="H33" s="4">
        <v>0</v>
      </c>
      <c r="I33" s="4">
        <v>150</v>
      </c>
      <c r="J33" s="4">
        <v>4125</v>
      </c>
      <c r="K33" s="21">
        <v>568.75</v>
      </c>
      <c r="L33" s="4">
        <v>350</v>
      </c>
      <c r="M33" s="21">
        <v>6925</v>
      </c>
      <c r="N33" s="21">
        <v>2175</v>
      </c>
      <c r="O33" s="21">
        <v>3975</v>
      </c>
      <c r="P33" s="4">
        <v>1181.26</v>
      </c>
      <c r="Q33" s="4">
        <v>1625</v>
      </c>
      <c r="R33" s="21">
        <v>38769.449999999997</v>
      </c>
      <c r="S33" s="21">
        <v>1125</v>
      </c>
    </row>
    <row r="34" spans="1:21" x14ac:dyDescent="0.2">
      <c r="A34" s="1" t="s">
        <v>47</v>
      </c>
      <c r="B34" s="3">
        <f>SUM(Table135[[#This Row],[CARSON CITY]:[WHITE PINE]])</f>
        <v>155426</v>
      </c>
      <c r="C34" s="4">
        <v>240</v>
      </c>
      <c r="D34" s="4">
        <v>1630</v>
      </c>
      <c r="E34" s="4">
        <v>0</v>
      </c>
      <c r="F34" s="4">
        <v>10705</v>
      </c>
      <c r="G34" s="4">
        <v>7230</v>
      </c>
      <c r="H34" s="4">
        <v>85</v>
      </c>
      <c r="I34" s="4">
        <v>55</v>
      </c>
      <c r="J34" s="4">
        <v>1865</v>
      </c>
      <c r="K34" s="4">
        <v>255</v>
      </c>
      <c r="L34" s="4">
        <v>240</v>
      </c>
      <c r="M34" s="4">
        <v>740</v>
      </c>
      <c r="N34" s="4">
        <v>415</v>
      </c>
      <c r="O34" s="4">
        <v>1045</v>
      </c>
      <c r="P34" s="4">
        <v>265</v>
      </c>
      <c r="Q34" s="4">
        <v>1250</v>
      </c>
      <c r="R34" s="4">
        <v>128646</v>
      </c>
      <c r="S34" s="4">
        <v>760</v>
      </c>
    </row>
    <row r="35" spans="1:21" x14ac:dyDescent="0.2">
      <c r="A35" s="1" t="s">
        <v>48</v>
      </c>
      <c r="B35" s="3">
        <f>SUM(Table135[[#This Row],[CARSON CITY]:[WHITE PINE]])</f>
        <v>704332</v>
      </c>
      <c r="C35" s="4">
        <v>19945</v>
      </c>
      <c r="D35" s="4">
        <v>0</v>
      </c>
      <c r="E35" s="4">
        <v>683580</v>
      </c>
      <c r="F35" s="4">
        <v>0</v>
      </c>
      <c r="G35" s="4">
        <v>0</v>
      </c>
      <c r="H35" s="4">
        <v>0</v>
      </c>
      <c r="I35" s="4">
        <v>100</v>
      </c>
      <c r="J35" s="4">
        <v>25</v>
      </c>
      <c r="K35" s="4">
        <v>0</v>
      </c>
      <c r="L35" s="4">
        <v>25</v>
      </c>
      <c r="M35" s="4">
        <v>0</v>
      </c>
      <c r="N35" s="4">
        <v>0</v>
      </c>
      <c r="O35" s="4">
        <v>0</v>
      </c>
      <c r="P35" s="4">
        <v>0</v>
      </c>
      <c r="Q35" s="4">
        <v>157</v>
      </c>
      <c r="R35" s="4">
        <v>0</v>
      </c>
      <c r="S35" s="4">
        <v>500</v>
      </c>
    </row>
    <row r="36" spans="1:21" x14ac:dyDescent="0.2">
      <c r="A36" s="1" t="s">
        <v>49</v>
      </c>
      <c r="B36" s="3">
        <f>SUM(Table135[[#This Row],[CARSON CITY]:[WHITE PINE]])</f>
        <v>1542827</v>
      </c>
      <c r="C36" s="4">
        <v>14215</v>
      </c>
      <c r="D36" s="4">
        <v>4550</v>
      </c>
      <c r="E36" s="4">
        <v>1468775</v>
      </c>
      <c r="F36" s="4">
        <v>13425</v>
      </c>
      <c r="G36" s="4">
        <v>9725</v>
      </c>
      <c r="H36" s="4">
        <v>150</v>
      </c>
      <c r="I36" s="4">
        <v>200</v>
      </c>
      <c r="J36" s="4">
        <v>2750</v>
      </c>
      <c r="K36" s="4">
        <v>1125</v>
      </c>
      <c r="L36" s="4">
        <v>375</v>
      </c>
      <c r="M36" s="4">
        <v>1850</v>
      </c>
      <c r="N36" s="4">
        <v>1030</v>
      </c>
      <c r="O36" s="4">
        <v>4525</v>
      </c>
      <c r="P36" s="4">
        <v>1025</v>
      </c>
      <c r="Q36" s="4">
        <v>2875</v>
      </c>
      <c r="R36" s="4">
        <v>14725</v>
      </c>
      <c r="S36" s="4">
        <v>1507</v>
      </c>
    </row>
    <row r="37" spans="1:21" x14ac:dyDescent="0.2">
      <c r="A37" s="1" t="s">
        <v>50</v>
      </c>
      <c r="B37" s="3">
        <f>SUM(Table135[[#This Row],[CARSON CITY]:[WHITE PINE]])</f>
        <v>19953</v>
      </c>
      <c r="C37" s="4">
        <v>0</v>
      </c>
      <c r="D37" s="4">
        <v>390</v>
      </c>
      <c r="E37" s="4">
        <v>15580</v>
      </c>
      <c r="F37" s="4">
        <v>0</v>
      </c>
      <c r="G37" s="21">
        <v>840</v>
      </c>
      <c r="H37" s="4">
        <v>0</v>
      </c>
      <c r="I37" s="4">
        <v>50</v>
      </c>
      <c r="J37" s="4">
        <v>10</v>
      </c>
      <c r="K37" s="4">
        <v>78</v>
      </c>
      <c r="L37" s="4">
        <v>0</v>
      </c>
      <c r="M37" s="21">
        <v>25</v>
      </c>
      <c r="N37" s="4">
        <v>10</v>
      </c>
      <c r="O37" s="21">
        <v>410</v>
      </c>
      <c r="P37" s="4">
        <v>130</v>
      </c>
      <c r="Q37" s="4">
        <v>340</v>
      </c>
      <c r="R37" s="4">
        <v>1975</v>
      </c>
      <c r="S37" s="4">
        <v>115</v>
      </c>
    </row>
    <row r="38" spans="1:21" x14ac:dyDescent="0.2">
      <c r="A38" s="1" t="s">
        <v>35</v>
      </c>
      <c r="B38" s="3">
        <f>SUM(Table135[[#This Row],[CARSON CITY]:[WHITE PINE]])</f>
        <v>917760</v>
      </c>
      <c r="C38" s="4">
        <v>11198</v>
      </c>
      <c r="D38" s="4">
        <v>5830</v>
      </c>
      <c r="E38" s="4">
        <v>687476</v>
      </c>
      <c r="F38" s="4">
        <v>16804</v>
      </c>
      <c r="G38" s="4">
        <v>13293</v>
      </c>
      <c r="H38" s="4">
        <v>3894</v>
      </c>
      <c r="I38" s="4">
        <v>1245</v>
      </c>
      <c r="J38" s="4">
        <v>5222</v>
      </c>
      <c r="K38" s="4">
        <v>2522</v>
      </c>
      <c r="L38" s="4">
        <v>10102</v>
      </c>
      <c r="M38" s="4">
        <v>18423</v>
      </c>
      <c r="N38" s="4">
        <v>2500</v>
      </c>
      <c r="O38" s="4">
        <v>18614</v>
      </c>
      <c r="P38" s="4">
        <v>2597</v>
      </c>
      <c r="Q38" s="4">
        <v>1536</v>
      </c>
      <c r="R38" s="4">
        <v>113268</v>
      </c>
      <c r="S38" s="4">
        <v>3236</v>
      </c>
    </row>
    <row r="39" spans="1:21" x14ac:dyDescent="0.2">
      <c r="A39" s="1" t="s">
        <v>104</v>
      </c>
      <c r="B39" s="3">
        <f>SUM(Table135[[#This Row],[CARSON CITY]:[WHITE PINE]])</f>
        <v>257836.42</v>
      </c>
      <c r="C39" s="4">
        <v>2432.8200000000002</v>
      </c>
      <c r="D39" s="4">
        <v>1122.96</v>
      </c>
      <c r="E39" s="4">
        <v>199304.1</v>
      </c>
      <c r="F39" s="4">
        <v>4323.9399999999996</v>
      </c>
      <c r="G39" s="4">
        <v>5801.34</v>
      </c>
      <c r="H39" s="4">
        <v>0</v>
      </c>
      <c r="I39" s="4">
        <v>187.16</v>
      </c>
      <c r="J39" s="4">
        <v>1403.7</v>
      </c>
      <c r="K39" s="4">
        <v>187.14</v>
      </c>
      <c r="L39" s="4">
        <v>475</v>
      </c>
      <c r="M39" s="4">
        <v>5915.08</v>
      </c>
      <c r="N39" s="4">
        <v>654.99</v>
      </c>
      <c r="O39" s="4">
        <v>7205.66</v>
      </c>
      <c r="P39" s="4">
        <v>374.28</v>
      </c>
      <c r="Q39" s="4">
        <v>654.99</v>
      </c>
      <c r="R39" s="4">
        <v>27138.2</v>
      </c>
      <c r="S39" s="4">
        <v>655.05999999999995</v>
      </c>
    </row>
    <row r="40" spans="1:21" x14ac:dyDescent="0.2">
      <c r="A40" s="1" t="s">
        <v>51</v>
      </c>
      <c r="B40" s="3">
        <f>SUM(Table135[[#This Row],[CARSON CITY]:[WHITE PINE]])</f>
        <v>487641.75</v>
      </c>
      <c r="C40" s="4">
        <v>3841.5</v>
      </c>
      <c r="D40" s="4">
        <v>1773</v>
      </c>
      <c r="E40" s="4">
        <v>393224.5</v>
      </c>
      <c r="F40" s="4">
        <v>8563.25</v>
      </c>
      <c r="G40" s="4">
        <v>9160.5</v>
      </c>
      <c r="H40" s="4">
        <v>0</v>
      </c>
      <c r="I40" s="4">
        <v>295.5</v>
      </c>
      <c r="J40" s="4">
        <v>2216.25</v>
      </c>
      <c r="K40" s="4">
        <v>295.5</v>
      </c>
      <c r="L40" s="4">
        <v>750</v>
      </c>
      <c r="M40" s="4">
        <v>9603.75</v>
      </c>
      <c r="N40" s="4">
        <v>1034.25</v>
      </c>
      <c r="O40" s="4">
        <v>11376.75</v>
      </c>
      <c r="P40" s="4">
        <v>591</v>
      </c>
      <c r="Q40" s="4">
        <v>1034.25</v>
      </c>
      <c r="R40" s="4">
        <v>42847.5</v>
      </c>
      <c r="S40" s="4">
        <v>1034.25</v>
      </c>
    </row>
    <row r="41" spans="1:21" x14ac:dyDescent="0.2">
      <c r="A41" s="1" t="s">
        <v>52</v>
      </c>
      <c r="B41" s="3">
        <f>SUM(Table135[[#This Row],[CARSON CITY]:[WHITE PINE]])</f>
        <v>926373.81</v>
      </c>
      <c r="C41" s="4">
        <v>0</v>
      </c>
      <c r="D41" s="4">
        <v>0</v>
      </c>
      <c r="E41" s="4">
        <v>0</v>
      </c>
      <c r="F41" s="4">
        <v>0</v>
      </c>
      <c r="G41" s="4">
        <v>0</v>
      </c>
      <c r="H41" s="4">
        <v>0</v>
      </c>
      <c r="I41" s="4">
        <v>0</v>
      </c>
      <c r="J41" s="4">
        <v>0</v>
      </c>
      <c r="K41" s="4">
        <v>0</v>
      </c>
      <c r="L41" s="4">
        <v>0</v>
      </c>
      <c r="M41" s="4">
        <v>0</v>
      </c>
      <c r="N41" s="4">
        <v>0</v>
      </c>
      <c r="O41" s="4">
        <v>0</v>
      </c>
      <c r="P41" s="4">
        <v>0</v>
      </c>
      <c r="Q41" s="4">
        <v>0</v>
      </c>
      <c r="R41" s="4">
        <v>926373.81</v>
      </c>
      <c r="S41" s="4">
        <v>0</v>
      </c>
    </row>
    <row r="42" spans="1:21" x14ac:dyDescent="0.2">
      <c r="A42" s="1" t="s">
        <v>53</v>
      </c>
      <c r="B42" s="3">
        <f>SUM(Table135[[#This Row],[CARSON CITY]:[WHITE PINE]])</f>
        <v>1363173.8</v>
      </c>
      <c r="C42" s="4">
        <v>0</v>
      </c>
      <c r="D42" s="4">
        <v>35045.800000000003</v>
      </c>
      <c r="E42" s="4">
        <v>172449</v>
      </c>
      <c r="F42" s="4">
        <v>0</v>
      </c>
      <c r="G42" s="4">
        <v>0</v>
      </c>
      <c r="H42" s="4">
        <v>0</v>
      </c>
      <c r="I42" s="4">
        <v>0</v>
      </c>
      <c r="J42" s="4">
        <v>0</v>
      </c>
      <c r="K42" s="4">
        <v>0</v>
      </c>
      <c r="L42" s="4">
        <v>0</v>
      </c>
      <c r="M42" s="4">
        <v>0</v>
      </c>
      <c r="N42" s="4">
        <v>0</v>
      </c>
      <c r="O42" s="4">
        <v>0</v>
      </c>
      <c r="P42" s="4">
        <v>0</v>
      </c>
      <c r="Q42" s="4">
        <v>0</v>
      </c>
      <c r="R42" s="4">
        <v>1155679</v>
      </c>
      <c r="S42" s="4">
        <v>0</v>
      </c>
    </row>
    <row r="43" spans="1:21" x14ac:dyDescent="0.2">
      <c r="A43" s="1" t="s">
        <v>54</v>
      </c>
      <c r="B43" s="3">
        <f>SUM(Table135[[#This Row],[CARSON CITY]:[WHITE PINE]])</f>
        <v>4519509.46</v>
      </c>
      <c r="C43" s="4">
        <v>0</v>
      </c>
      <c r="D43" s="4">
        <v>163225.10999999999</v>
      </c>
      <c r="E43" s="4">
        <v>64355.03</v>
      </c>
      <c r="F43" s="4">
        <v>0</v>
      </c>
      <c r="G43" s="4">
        <v>0</v>
      </c>
      <c r="H43" s="4">
        <v>0</v>
      </c>
      <c r="I43" s="4">
        <v>0</v>
      </c>
      <c r="J43" s="4">
        <v>0</v>
      </c>
      <c r="K43" s="4">
        <v>0</v>
      </c>
      <c r="L43" s="4">
        <v>0</v>
      </c>
      <c r="M43" s="4">
        <v>0</v>
      </c>
      <c r="N43" s="4">
        <v>0</v>
      </c>
      <c r="O43" s="4">
        <v>0</v>
      </c>
      <c r="P43" s="4">
        <v>0</v>
      </c>
      <c r="Q43" s="4">
        <v>0</v>
      </c>
      <c r="R43" s="4">
        <v>4291929.32</v>
      </c>
      <c r="S43" s="4">
        <v>0</v>
      </c>
    </row>
    <row r="44" spans="1:21" x14ac:dyDescent="0.2">
      <c r="A44" s="1" t="s">
        <v>37</v>
      </c>
      <c r="B44" s="3">
        <f>SUM(Table135[[#This Row],[CARSON CITY]:[WHITE PINE]])</f>
        <v>2715845.5700000003</v>
      </c>
      <c r="C44" s="4">
        <v>59439</v>
      </c>
      <c r="D44" s="21">
        <v>29047</v>
      </c>
      <c r="E44" s="21">
        <v>1958879.13</v>
      </c>
      <c r="F44" s="4">
        <v>39547</v>
      </c>
      <c r="G44" s="21">
        <v>85712</v>
      </c>
      <c r="H44" s="4">
        <v>13769</v>
      </c>
      <c r="I44" s="4">
        <v>4548</v>
      </c>
      <c r="J44" s="4">
        <v>34212.33</v>
      </c>
      <c r="K44" s="4">
        <v>14579</v>
      </c>
      <c r="L44" s="4">
        <v>23439</v>
      </c>
      <c r="M44" s="21">
        <v>58170.2</v>
      </c>
      <c r="N44" s="4">
        <v>36321</v>
      </c>
      <c r="O44" s="4">
        <v>48985</v>
      </c>
      <c r="P44" s="4">
        <v>9746</v>
      </c>
      <c r="Q44" s="4">
        <v>10127</v>
      </c>
      <c r="R44" s="21">
        <v>272169.90999999997</v>
      </c>
      <c r="S44" s="21">
        <v>17155</v>
      </c>
    </row>
    <row r="45" spans="1:21" x14ac:dyDescent="0.2">
      <c r="A45" s="1" t="s">
        <v>28</v>
      </c>
      <c r="B45" s="3">
        <f>SUM(Table135[[#This Row],[CARSON CITY]:[WHITE PINE]])</f>
        <v>9825469.7300000042</v>
      </c>
      <c r="C45" s="4">
        <v>138492.03</v>
      </c>
      <c r="D45" s="21">
        <v>80647.63</v>
      </c>
      <c r="E45" s="21">
        <v>7485121.7400000002</v>
      </c>
      <c r="F45" s="4">
        <v>129195.45</v>
      </c>
      <c r="G45" s="21">
        <v>232372.04</v>
      </c>
      <c r="H45" s="4">
        <v>53898.6</v>
      </c>
      <c r="I45" s="4">
        <v>10574.04</v>
      </c>
      <c r="J45" s="4">
        <v>105835.93</v>
      </c>
      <c r="K45" s="4">
        <v>33456</v>
      </c>
      <c r="L45" s="4">
        <v>44215.32</v>
      </c>
      <c r="M45" s="21">
        <v>132146</v>
      </c>
      <c r="N45" s="4">
        <v>126180.83</v>
      </c>
      <c r="O45" s="4">
        <v>189455.71</v>
      </c>
      <c r="P45" s="4">
        <v>33742.980000000003</v>
      </c>
      <c r="Q45" s="4">
        <v>31524.880000000001</v>
      </c>
      <c r="R45" s="21">
        <v>962741.59</v>
      </c>
      <c r="S45" s="21">
        <v>35868.959999999999</v>
      </c>
    </row>
    <row r="46" spans="1:21" x14ac:dyDescent="0.2">
      <c r="A46" s="1" t="s">
        <v>55</v>
      </c>
      <c r="B46" s="3">
        <f>SUM(Table135[[#This Row],[CARSON CITY]:[WHITE PINE]])</f>
        <v>1831501.3399999999</v>
      </c>
      <c r="C46" s="4">
        <v>42889</v>
      </c>
      <c r="D46" s="21">
        <v>20177</v>
      </c>
      <c r="E46" s="21">
        <v>1296194.72</v>
      </c>
      <c r="F46" s="4">
        <v>26215</v>
      </c>
      <c r="G46" s="21">
        <v>59900.55</v>
      </c>
      <c r="H46" s="4">
        <v>9790</v>
      </c>
      <c r="I46" s="4">
        <v>3265</v>
      </c>
      <c r="J46" s="4">
        <v>24642</v>
      </c>
      <c r="K46" s="4">
        <v>10356</v>
      </c>
      <c r="L46" s="4">
        <v>16780</v>
      </c>
      <c r="M46" s="21">
        <v>38081.9</v>
      </c>
      <c r="N46" s="4">
        <v>25775.67</v>
      </c>
      <c r="O46" s="4">
        <v>34730</v>
      </c>
      <c r="P46" s="4">
        <v>7009</v>
      </c>
      <c r="Q46" s="4">
        <v>7294</v>
      </c>
      <c r="R46" s="21">
        <v>196151</v>
      </c>
      <c r="S46" s="21">
        <v>12250.5</v>
      </c>
    </row>
    <row r="47" spans="1:21" x14ac:dyDescent="0.2">
      <c r="A47" s="1" t="s">
        <v>57</v>
      </c>
      <c r="B47" s="3">
        <f>SUM(Table135[[#This Row],[CARSON CITY]:[WHITE PINE]])</f>
        <v>549925</v>
      </c>
      <c r="C47" s="4">
        <v>0</v>
      </c>
      <c r="D47" s="4">
        <v>0</v>
      </c>
      <c r="E47" s="4">
        <v>549925</v>
      </c>
      <c r="F47" s="4">
        <v>0</v>
      </c>
      <c r="G47" s="4">
        <v>0</v>
      </c>
      <c r="H47" s="4">
        <v>0</v>
      </c>
      <c r="I47" s="4">
        <v>0</v>
      </c>
      <c r="J47" s="4">
        <v>0</v>
      </c>
      <c r="K47" s="4">
        <v>0</v>
      </c>
      <c r="L47" s="4">
        <v>0</v>
      </c>
      <c r="M47" s="4">
        <v>0</v>
      </c>
      <c r="N47" s="4">
        <v>0</v>
      </c>
      <c r="O47" s="4">
        <v>0</v>
      </c>
      <c r="P47" s="4">
        <v>0</v>
      </c>
      <c r="Q47" s="4">
        <v>0</v>
      </c>
      <c r="R47" s="4">
        <v>0</v>
      </c>
      <c r="S47" s="4">
        <v>0</v>
      </c>
    </row>
    <row r="48" spans="1:21" x14ac:dyDescent="0.2">
      <c r="A48" s="1" t="s">
        <v>60</v>
      </c>
      <c r="B48" s="3">
        <f>SUM(Table135[[#This Row],[CARSON CITY]:[WHITE PINE]])</f>
        <v>2244796.96</v>
      </c>
      <c r="C48" s="4">
        <v>0</v>
      </c>
      <c r="D48" s="4">
        <v>22547.279999999999</v>
      </c>
      <c r="E48" s="4">
        <v>1043939.54</v>
      </c>
      <c r="F48" s="4">
        <v>0</v>
      </c>
      <c r="G48" s="4">
        <v>0</v>
      </c>
      <c r="H48" s="4">
        <v>0</v>
      </c>
      <c r="I48" s="4">
        <v>0</v>
      </c>
      <c r="J48" s="4">
        <v>0</v>
      </c>
      <c r="K48" s="4">
        <v>0</v>
      </c>
      <c r="L48" s="4">
        <v>0</v>
      </c>
      <c r="M48" s="4">
        <v>0</v>
      </c>
      <c r="N48" s="4">
        <v>0</v>
      </c>
      <c r="O48" s="4">
        <v>834402.92</v>
      </c>
      <c r="P48" s="4">
        <v>0</v>
      </c>
      <c r="Q48" s="4">
        <v>0</v>
      </c>
      <c r="R48" s="4">
        <v>0</v>
      </c>
      <c r="S48" s="4">
        <v>343907.22</v>
      </c>
      <c r="U48" s="4"/>
    </row>
    <row r="49" spans="1:19" x14ac:dyDescent="0.2">
      <c r="A49" s="1" t="s">
        <v>61</v>
      </c>
      <c r="B49" s="3">
        <f>SUM(Table135[[#This Row],[CARSON CITY]:[WHITE PINE]])</f>
        <v>230564.32000000004</v>
      </c>
      <c r="C49" s="4">
        <v>3155</v>
      </c>
      <c r="D49" s="21">
        <v>3518</v>
      </c>
      <c r="E49" s="21">
        <v>185374.25</v>
      </c>
      <c r="F49" s="4">
        <v>2525</v>
      </c>
      <c r="G49" s="21">
        <v>7820</v>
      </c>
      <c r="H49" s="4">
        <v>0</v>
      </c>
      <c r="I49" s="4">
        <v>0</v>
      </c>
      <c r="J49" s="4">
        <v>780</v>
      </c>
      <c r="K49" s="4">
        <v>600</v>
      </c>
      <c r="L49" s="4">
        <v>345</v>
      </c>
      <c r="M49" s="21">
        <v>2746.14</v>
      </c>
      <c r="N49" s="4">
        <v>415</v>
      </c>
      <c r="O49" s="4">
        <v>1884.98</v>
      </c>
      <c r="P49" s="4">
        <v>749</v>
      </c>
      <c r="Q49" s="4">
        <v>125</v>
      </c>
      <c r="R49" s="21">
        <v>19491.95</v>
      </c>
      <c r="S49" s="21">
        <v>1035</v>
      </c>
    </row>
    <row r="50" spans="1:19" ht="13.5" thickBot="1" x14ac:dyDescent="0.25">
      <c r="A50" s="1" t="s">
        <v>63</v>
      </c>
      <c r="B50" s="3">
        <f>SUM(Table135[[#This Row],[CARSON CITY]:[WHITE PINE]])</f>
        <v>301050</v>
      </c>
      <c r="C50" s="4">
        <v>0</v>
      </c>
      <c r="D50" s="4">
        <v>0</v>
      </c>
      <c r="E50" s="4">
        <v>301050</v>
      </c>
      <c r="F50" s="4">
        <v>0</v>
      </c>
      <c r="G50" s="4">
        <v>0</v>
      </c>
      <c r="H50" s="4">
        <v>0</v>
      </c>
      <c r="I50" s="4">
        <v>0</v>
      </c>
      <c r="J50" s="4">
        <v>0</v>
      </c>
      <c r="K50" s="4">
        <v>0</v>
      </c>
      <c r="L50" s="4">
        <v>0</v>
      </c>
      <c r="M50" s="4">
        <v>0</v>
      </c>
      <c r="N50" s="4">
        <v>0</v>
      </c>
      <c r="O50" s="4">
        <v>0</v>
      </c>
      <c r="P50" s="4">
        <v>0</v>
      </c>
      <c r="Q50" s="4">
        <v>0</v>
      </c>
      <c r="R50" s="4">
        <v>0</v>
      </c>
      <c r="S50" s="4">
        <v>0</v>
      </c>
    </row>
    <row r="51" spans="1:19" s="8" customFormat="1" ht="13.5" thickBot="1" x14ac:dyDescent="0.25">
      <c r="A51" s="5" t="s">
        <v>16</v>
      </c>
      <c r="B51" s="6">
        <f>SUBTOTAL(109,B3:B50)</f>
        <v>362066773.44</v>
      </c>
      <c r="C51" s="6">
        <f>SUBTOTAL(109,C3:C50)</f>
        <v>5329113.0100000007</v>
      </c>
      <c r="D51" s="6">
        <f t="shared" ref="D51:S51" si="0">SUBTOTAL(109,D3:D50)</f>
        <v>2604138.7899999991</v>
      </c>
      <c r="E51" s="6">
        <f t="shared" si="0"/>
        <v>248726160.78</v>
      </c>
      <c r="F51" s="6">
        <f t="shared" si="0"/>
        <v>9859809.0500000007</v>
      </c>
      <c r="G51" s="6">
        <f t="shared" si="0"/>
        <v>5857250.5</v>
      </c>
      <c r="H51" s="6">
        <f t="shared" si="0"/>
        <v>239292.17</v>
      </c>
      <c r="I51" s="6">
        <f t="shared" si="0"/>
        <v>2133636.0700000003</v>
      </c>
      <c r="J51" s="6">
        <f t="shared" si="0"/>
        <v>2663429.87</v>
      </c>
      <c r="K51" s="6">
        <f t="shared" si="0"/>
        <v>1620261.2199999997</v>
      </c>
      <c r="L51" s="6">
        <f t="shared" si="0"/>
        <v>584209.62</v>
      </c>
      <c r="M51" s="6">
        <f t="shared" si="0"/>
        <v>5547865.5</v>
      </c>
      <c r="N51" s="6">
        <f t="shared" si="0"/>
        <v>477631.71</v>
      </c>
      <c r="O51" s="6">
        <f t="shared" si="0"/>
        <v>5739881.3700000001</v>
      </c>
      <c r="P51" s="6">
        <f t="shared" si="0"/>
        <v>745650.89000000013</v>
      </c>
      <c r="Q51" s="6">
        <f t="shared" si="0"/>
        <v>1664954.79</v>
      </c>
      <c r="R51" s="6">
        <f t="shared" si="0"/>
        <v>66997224.81000001</v>
      </c>
      <c r="S51" s="6">
        <f t="shared" si="0"/>
        <v>1276263.29</v>
      </c>
    </row>
    <row r="52" spans="1:19" ht="13.5" thickTop="1" x14ac:dyDescent="0.2">
      <c r="A52" s="14" t="s">
        <v>103</v>
      </c>
      <c r="B52" s="3"/>
      <c r="C52" s="3"/>
    </row>
    <row r="53" spans="1:19" x14ac:dyDescent="0.2">
      <c r="A53" s="23" t="s">
        <v>105</v>
      </c>
      <c r="B53" s="23"/>
      <c r="C53" s="3"/>
    </row>
    <row r="54" spans="1:19" hidden="1" x14ac:dyDescent="0.2">
      <c r="A54" s="15"/>
      <c r="B54" s="15"/>
    </row>
    <row r="55" spans="1:19" x14ac:dyDescent="0.2">
      <c r="A55" s="15" t="s">
        <v>107</v>
      </c>
      <c r="B55" s="15"/>
    </row>
    <row r="56" spans="1:19" hidden="1" x14ac:dyDescent="0.2">
      <c r="A56" s="15"/>
      <c r="B56" s="15"/>
    </row>
    <row r="57" spans="1:19" hidden="1" x14ac:dyDescent="0.2">
      <c r="A57" s="15"/>
      <c r="B57" s="15"/>
    </row>
    <row r="58" spans="1:19" x14ac:dyDescent="0.2">
      <c r="A58" s="15" t="s">
        <v>108</v>
      </c>
      <c r="B58" s="15"/>
    </row>
    <row r="59" spans="1:19" x14ac:dyDescent="0.2">
      <c r="A59" s="15" t="s">
        <v>109</v>
      </c>
      <c r="B59" s="15"/>
    </row>
    <row r="60" spans="1:19" x14ac:dyDescent="0.2">
      <c r="A60" s="15" t="s">
        <v>110</v>
      </c>
      <c r="B60" s="15"/>
    </row>
    <row r="61" spans="1:19" hidden="1" x14ac:dyDescent="0.2">
      <c r="C61" s="15"/>
    </row>
    <row r="62" spans="1:19" hidden="1" x14ac:dyDescent="0.2">
      <c r="A62" s="15"/>
      <c r="B62" s="15"/>
    </row>
    <row r="63" spans="1:19" hidden="1" x14ac:dyDescent="0.2">
      <c r="A63" s="15"/>
      <c r="B63" s="15"/>
    </row>
    <row r="64" spans="1:19" hidden="1" x14ac:dyDescent="0.2">
      <c r="A64" s="15"/>
      <c r="B64" s="15"/>
    </row>
    <row r="65" spans="1:2" x14ac:dyDescent="0.2">
      <c r="A65" s="15" t="s">
        <v>111</v>
      </c>
      <c r="B65" s="15"/>
    </row>
    <row r="66" spans="1:2" hidden="1" x14ac:dyDescent="0.2">
      <c r="A66" s="15"/>
      <c r="B66" s="15"/>
    </row>
    <row r="67" spans="1:2" x14ac:dyDescent="0.2">
      <c r="A67" s="15" t="s">
        <v>72</v>
      </c>
      <c r="B67" s="15"/>
    </row>
    <row r="68" spans="1:2" x14ac:dyDescent="0.2">
      <c r="A68" s="15" t="s">
        <v>112</v>
      </c>
      <c r="B68" s="15"/>
    </row>
    <row r="69" spans="1:2" x14ac:dyDescent="0.2">
      <c r="A69" s="15" t="s">
        <v>113</v>
      </c>
      <c r="B69" s="15"/>
    </row>
    <row r="70" spans="1:2" hidden="1" x14ac:dyDescent="0.2">
      <c r="A70" s="15"/>
      <c r="B70" s="15"/>
    </row>
    <row r="71" spans="1:2" hidden="1" x14ac:dyDescent="0.2">
      <c r="A71" s="22"/>
      <c r="B71" s="22"/>
    </row>
    <row r="72" spans="1:2" hidden="1" x14ac:dyDescent="0.2">
      <c r="A72" s="15"/>
      <c r="B72" s="15"/>
    </row>
    <row r="73" spans="1:2" hidden="1" x14ac:dyDescent="0.2">
      <c r="A73" s="15"/>
      <c r="B73" s="15"/>
    </row>
    <row r="74" spans="1:2" hidden="1" x14ac:dyDescent="0.2">
      <c r="A74" s="15"/>
      <c r="B74" s="15"/>
    </row>
    <row r="75" spans="1:2" hidden="1" x14ac:dyDescent="0.2">
      <c r="A75" s="15"/>
      <c r="B75" s="15"/>
    </row>
    <row r="76" spans="1:2" hidden="1" x14ac:dyDescent="0.2">
      <c r="A76" s="15"/>
      <c r="B76" s="15"/>
    </row>
    <row r="77" spans="1:2" hidden="1" x14ac:dyDescent="0.2">
      <c r="A77" s="15"/>
      <c r="B77" s="15"/>
    </row>
    <row r="78" spans="1:2" hidden="1" x14ac:dyDescent="0.2">
      <c r="A78" s="15"/>
      <c r="B78" s="15"/>
    </row>
    <row r="79" spans="1:2" hidden="1" x14ac:dyDescent="0.2">
      <c r="A79" s="15"/>
      <c r="B79" s="15"/>
    </row>
    <row r="80" spans="1:2" x14ac:dyDescent="0.2">
      <c r="A80" s="15" t="s">
        <v>114</v>
      </c>
      <c r="B80" s="15"/>
    </row>
    <row r="81" spans="1:2" x14ac:dyDescent="0.2">
      <c r="A81" s="22" t="s">
        <v>115</v>
      </c>
      <c r="B81" s="22"/>
    </row>
    <row r="82" spans="1:2" hidden="1" x14ac:dyDescent="0.2">
      <c r="A82" s="15"/>
      <c r="B82" s="15"/>
    </row>
    <row r="83" spans="1:2" hidden="1" x14ac:dyDescent="0.2">
      <c r="A83" s="15"/>
      <c r="B83" s="15"/>
    </row>
    <row r="84" spans="1:2" hidden="1" x14ac:dyDescent="0.2">
      <c r="A84" s="15"/>
      <c r="B84" s="15"/>
    </row>
    <row r="85" spans="1:2" hidden="1" x14ac:dyDescent="0.2">
      <c r="A85" s="15"/>
      <c r="B85" s="15"/>
    </row>
    <row r="86" spans="1:2" hidden="1" x14ac:dyDescent="0.2">
      <c r="A86" s="15"/>
      <c r="B86" s="15"/>
    </row>
    <row r="87" spans="1:2" hidden="1" x14ac:dyDescent="0.2">
      <c r="A87" s="15"/>
      <c r="B87" s="15"/>
    </row>
    <row r="88" spans="1:2" hidden="1" x14ac:dyDescent="0.2">
      <c r="A88" s="15"/>
      <c r="B88" s="15"/>
    </row>
    <row r="89" spans="1:2" x14ac:dyDescent="0.2">
      <c r="A89" s="15" t="s">
        <v>116</v>
      </c>
      <c r="B89" s="15"/>
    </row>
    <row r="90" spans="1:2" x14ac:dyDescent="0.2">
      <c r="A90" s="15" t="s">
        <v>117</v>
      </c>
      <c r="B90" s="15"/>
    </row>
    <row r="91" spans="1:2" x14ac:dyDescent="0.2">
      <c r="A91" s="14" t="s">
        <v>118</v>
      </c>
      <c r="B91" s="14"/>
    </row>
    <row r="92" spans="1:2" hidden="1" x14ac:dyDescent="0.2">
      <c r="A92" s="15"/>
      <c r="B92" s="15"/>
    </row>
    <row r="93" spans="1:2" x14ac:dyDescent="0.2">
      <c r="A93" s="15" t="s">
        <v>119</v>
      </c>
      <c r="B93" s="15"/>
    </row>
    <row r="94" spans="1:2" x14ac:dyDescent="0.2">
      <c r="A94" s="15"/>
    </row>
  </sheetData>
  <hyperlinks>
    <hyperlink ref="K23" location="'2020'!A89" display="'2020'!A89" xr:uid="{248CFF3C-C956-4801-A540-2DE28D00943A}"/>
    <hyperlink ref="O23" location="'2020'!A65" display="'2020'!A65" xr:uid="{56B0B3B3-FC61-4717-A418-43CD27B9ABEF}"/>
    <hyperlink ref="E23" location="'2020'!A53" display="'2020'!A53" xr:uid="{31F1D6BA-3AE5-4A41-BED3-7F143518D5F1}"/>
    <hyperlink ref="M23" location="'2020'!A55" display="'2020'!A55" xr:uid="{798F1CA0-B30F-46BA-9A8C-345BE2632501}"/>
    <hyperlink ref="F23" location="'2020'!A90" display="'2020'!A90" xr:uid="{3E4D52CD-FE1D-420A-83FD-215EE99DE7C2}"/>
    <hyperlink ref="G23" location="'2020'!A68" display="'2020'!A68" xr:uid="{2479FF57-328F-4FC2-965C-23D4061B956C}"/>
    <hyperlink ref="S23" location="'2020'!A67" display="'2020'!A67" xr:uid="{E2B50015-6CF5-44C4-93FA-72F3324A6797}"/>
    <hyperlink ref="D23" location="'2020'!A59" display="'2020'!A59" xr:uid="{5D190411-3379-4BC5-8EEA-FE21AFF9599D}"/>
    <hyperlink ref="N23" location="'2020'!A91" display="'2020'!A91" xr:uid="{017F3D03-46A5-4BF6-A31C-20C049C89F61}"/>
    <hyperlink ref="R23" location="'2020'!A58" display="'2020'!A58" xr:uid="{9728BFD7-5987-4010-8226-07D462BB28FF}"/>
    <hyperlink ref="M27" location="'2020'!A81" display="'2020'!A81" xr:uid="{65AAC29F-7F6A-423C-884E-6F02CBECC753}"/>
    <hyperlink ref="E27" location="'2020'!A53" display="'2020'!A53" xr:uid="{958111B4-7D06-4D9F-886F-37F3A42556D5}"/>
    <hyperlink ref="E28" location="'2020'!A93" display="'2020'!A93" xr:uid="{D701AE83-7034-4168-B275-14AE0113F7E7}"/>
    <hyperlink ref="D33" location="'2020'!A59" display="'2020'!A59" xr:uid="{65DD8574-4F40-4BBC-9CE4-9764E072E792}"/>
    <hyperlink ref="E33" location="'2020'!A53" display="'2020'!A53" xr:uid="{E55379FB-1348-4D65-9987-78DF4BC1ED7B}"/>
    <hyperlink ref="F33" location="'2020'!A90" display="'2020'!A90" xr:uid="{0777E32F-769E-464C-B392-253696F5CFE1}"/>
    <hyperlink ref="G33" location="'2020'!A68" display="'2020'!A68" xr:uid="{83007004-3F19-4980-B96A-CA0A751E8996}"/>
    <hyperlink ref="K33" location="'2020'!A89" display="'2020'!A89" xr:uid="{1E568848-7E6B-4128-AA13-2CD7CC897237}"/>
    <hyperlink ref="M33" location="'2020'!A55" display="'2020'!A55" xr:uid="{5F9C7D75-D6E2-4503-9C42-4382FA722303}"/>
    <hyperlink ref="N33" location="'2020'!A91" display="'2020'!A91" xr:uid="{2A0B3DAF-1271-4DCB-BD46-1B1481275694}"/>
    <hyperlink ref="O33" location="'2020'!A65" display="'2020'!A65" xr:uid="{9893148F-89BD-4159-A2E0-C64BEA8FBF02}"/>
    <hyperlink ref="R33" location="'2020'!A58" display="'2020'!A58" xr:uid="{7BE61D5A-93F2-4D3A-85F5-97681BCBF933}"/>
    <hyperlink ref="S33" location="'2020'!A67" display="'2020'!A67" xr:uid="{96A2CCAF-F57C-4914-8FD2-C3EBE1937554}"/>
    <hyperlink ref="G37" location="'2020'!A69" display="'2020'!A69" xr:uid="{9283CEF3-2BBA-4EA3-8E7D-226D894000D0}"/>
    <hyperlink ref="O37" location="'2020'!A58" display="'2020'!A58" xr:uid="{D2ACC47C-09A9-424C-8A6F-CEFF50C2F70F}"/>
    <hyperlink ref="D44" location="'2020'!A60" display="'2020'!A60" xr:uid="{4FBACC38-246B-40EE-8FAE-E0C44C4C7573}"/>
    <hyperlink ref="E44" location="'2020'!A53" display="'2020'!A53" xr:uid="{8EB5AAF9-B69A-47D2-80E6-3286FE8EA90E}"/>
    <hyperlink ref="G44" location="'2020'!A80" display="'2020'!A80" xr:uid="{FCB74B38-DC7F-453F-AE52-A9A7E29D0BBB}"/>
    <hyperlink ref="M44" location="'2020'!A81" display="'2020'!A81" xr:uid="{E5684BB3-13F7-41E3-B70E-353B14130C03}"/>
    <hyperlink ref="R44" location="'2020'!A59" display="'2020'!A59" xr:uid="{A585A9EA-E302-4FAF-A73D-4A200CE42839}"/>
    <hyperlink ref="S44" location="'2020'!A68" display="'2020'!A68" xr:uid="{7AB6C0CD-2FCE-4EDD-AE47-8B85F22F7CBF}"/>
    <hyperlink ref="D46" location="'2020'!A60" display="'2020'!A60" xr:uid="{C5C153B6-F301-45F6-81D2-409ED6A1E159}"/>
    <hyperlink ref="E46" location="'2020'!A53" display="'2020'!A53" xr:uid="{C89F892B-B200-44AA-AFE9-324729951A18}"/>
    <hyperlink ref="G46" location="'2020'!A80" display="'2020'!A80" xr:uid="{972EE7C4-C926-4B64-9EC8-3D978EA2EDB2}"/>
    <hyperlink ref="M46" location="'2020'!A81" display="'2020'!A81" xr:uid="{56DC77F8-7F12-47BE-967D-7340511BA0E2}"/>
    <hyperlink ref="R46" location="'2020'!A59" display="'2020'!A59" xr:uid="{EF576612-499A-4A63-B7EA-651F68517F30}"/>
    <hyperlink ref="S46" location="'2020'!A68" display="'2020'!A68" xr:uid="{F4C7F1DB-AE03-48EF-B94E-648A5714C49B}"/>
    <hyperlink ref="D45" location="'2020'!A60" display="'2020'!A60" xr:uid="{C4182F12-9493-42E9-9EA2-6416EDA67E1C}"/>
    <hyperlink ref="E45" location="'2020'!A53" display="'2020'!A53" xr:uid="{A47FFD8A-4391-46A9-A802-0723D2EDDE33}"/>
    <hyperlink ref="G45" location="'2020'!A80" display="'2020'!A80" xr:uid="{F396A97F-38C4-4E84-80C2-4357428D3AE6}"/>
    <hyperlink ref="M45" location="'2020'!A81" display="'2020'!A81" xr:uid="{0431B8DC-6252-4561-9349-14E1D42A273E}"/>
    <hyperlink ref="R45" location="'2020'!A59" display="'2020'!A59" xr:uid="{4B668FAF-8E84-4A53-928B-A3A6AF06C00B}"/>
    <hyperlink ref="S45" location="'2020'!A68" display="'2020'!A68" xr:uid="{F968FC86-92CC-425E-917A-25A60D9345CA}"/>
    <hyperlink ref="D49" location="'2020'!A60" display="'2020'!A60" xr:uid="{F453C766-790C-4352-84B5-A358C04CB2DC}"/>
    <hyperlink ref="E49" location="'2020'!A53" display="'2020'!A53" xr:uid="{D4F91D4C-ADBF-40F0-ABBA-BA1805FD5F78}"/>
    <hyperlink ref="G49" location="'2020'!A80" display="'2020'!A80" xr:uid="{A19325E8-B92A-4B65-9B0D-F2F06ADEC2D4}"/>
    <hyperlink ref="M49" location="'2020'!A81" display="'2020'!A81" xr:uid="{E95ABABE-0FEB-4AD7-9D3E-8D193C861C22}"/>
    <hyperlink ref="R49" location="'2020'!A59" display="'2020'!A59" xr:uid="{8AAA3117-CD93-4CB0-91E5-18E29E5F8CD4}"/>
    <hyperlink ref="S49" location="'2020'!A68" display="'2020'!A68" xr:uid="{A7B69021-CAAC-4B23-BF35-AFDC759D9010}"/>
    <hyperlink ref="M37" location="'2020'!A55" display="'2020'!A55" xr:uid="{4E5CC665-3542-4AAE-B7AB-8CB00BB1B84A}"/>
  </hyperlinks>
  <pageMargins left="0.25" right="0.25" top="0.75" bottom="0.75" header="0.3" footer="0.3"/>
  <pageSetup paperSize="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7FA4-B00F-464D-8E09-E01CFEF7096A}">
  <dimension ref="A1:U94"/>
  <sheetViews>
    <sheetView tabSelected="1" topLeftCell="A20" zoomScale="115" zoomScaleNormal="115" workbookViewId="0">
      <selection activeCell="A59" sqref="A59"/>
    </sheetView>
  </sheetViews>
  <sheetFormatPr defaultColWidth="8.7109375" defaultRowHeight="12.75" x14ac:dyDescent="0.2"/>
  <cols>
    <col min="1" max="1" width="48.5703125" style="1" customWidth="1"/>
    <col min="2" max="19" width="17.5703125" style="1" customWidth="1"/>
    <col min="20" max="20" width="8.7109375" style="1"/>
    <col min="21" max="21" width="12.140625" style="1" bestFit="1" customWidth="1"/>
    <col min="22" max="16384" width="8.7109375" style="1"/>
  </cols>
  <sheetData>
    <row r="1" spans="1:20" ht="24" customHeight="1" thickBot="1" x14ac:dyDescent="0.4">
      <c r="A1" s="10" t="s">
        <v>56</v>
      </c>
    </row>
    <row r="2" spans="1:20" s="12" customFormat="1" ht="14.25" thickTop="1" thickBot="1" x14ac:dyDescent="0.25">
      <c r="A2" s="11" t="s">
        <v>0</v>
      </c>
      <c r="B2" s="12" t="s">
        <v>16</v>
      </c>
      <c r="C2" s="13" t="s">
        <v>1</v>
      </c>
      <c r="D2" s="13" t="s">
        <v>2</v>
      </c>
      <c r="E2" s="13" t="s">
        <v>3</v>
      </c>
      <c r="F2" s="13" t="s">
        <v>4</v>
      </c>
      <c r="G2" s="13" t="s">
        <v>5</v>
      </c>
      <c r="H2" s="13" t="s">
        <v>6</v>
      </c>
      <c r="I2" s="13" t="s">
        <v>7</v>
      </c>
      <c r="J2" s="13" t="s">
        <v>8</v>
      </c>
      <c r="K2" s="13" t="s">
        <v>9</v>
      </c>
      <c r="L2" s="13" t="s">
        <v>10</v>
      </c>
      <c r="M2" s="13" t="s">
        <v>11</v>
      </c>
      <c r="N2" s="13" t="s">
        <v>64</v>
      </c>
      <c r="O2" s="13" t="s">
        <v>65</v>
      </c>
      <c r="P2" s="13" t="s">
        <v>12</v>
      </c>
      <c r="Q2" s="13" t="s">
        <v>13</v>
      </c>
      <c r="R2" s="13" t="s">
        <v>14</v>
      </c>
      <c r="S2" s="13" t="s">
        <v>15</v>
      </c>
    </row>
    <row r="3" spans="1:20" ht="13.5" thickTop="1" x14ac:dyDescent="0.2">
      <c r="A3" s="1" t="s">
        <v>31</v>
      </c>
      <c r="B3" s="3">
        <f>SUM(Table13[[#This Row],[CARSON CITY]:[WHITE PINE]])</f>
        <v>82024.77</v>
      </c>
      <c r="C3" s="4">
        <v>1668</v>
      </c>
      <c r="D3" s="4">
        <v>519</v>
      </c>
      <c r="E3" s="4">
        <v>66383</v>
      </c>
      <c r="F3" s="4">
        <v>441</v>
      </c>
      <c r="G3" s="4">
        <v>662</v>
      </c>
      <c r="H3" s="4">
        <v>0</v>
      </c>
      <c r="I3" s="4">
        <v>8</v>
      </c>
      <c r="J3" s="4">
        <v>501</v>
      </c>
      <c r="K3" s="4">
        <v>137</v>
      </c>
      <c r="L3" s="4">
        <v>34</v>
      </c>
      <c r="M3" s="4">
        <v>1412</v>
      </c>
      <c r="N3" s="4">
        <v>59</v>
      </c>
      <c r="O3" s="4">
        <v>944</v>
      </c>
      <c r="P3" s="4">
        <v>90</v>
      </c>
      <c r="Q3" s="4">
        <v>530.25</v>
      </c>
      <c r="R3" s="4">
        <v>8521.52</v>
      </c>
      <c r="S3" s="4">
        <v>115</v>
      </c>
    </row>
    <row r="4" spans="1:20" x14ac:dyDescent="0.2">
      <c r="A4" s="1" t="s">
        <v>36</v>
      </c>
      <c r="B4" s="3">
        <f>SUM(Table13[[#This Row],[CARSON CITY]:[WHITE PINE]])</f>
        <v>133907670.56999999</v>
      </c>
      <c r="C4" s="4">
        <v>2052990.22</v>
      </c>
      <c r="D4" s="4">
        <v>520101.25</v>
      </c>
      <c r="E4" s="4">
        <v>93352725.209999993</v>
      </c>
      <c r="F4" s="4">
        <v>5025399.4800000004</v>
      </c>
      <c r="G4" s="4">
        <v>1182282.8500000001</v>
      </c>
      <c r="H4" s="4">
        <v>23961.42</v>
      </c>
      <c r="I4" s="4">
        <v>20489.09</v>
      </c>
      <c r="J4" s="4">
        <v>414166.93</v>
      </c>
      <c r="K4" s="4">
        <v>71162.070000000007</v>
      </c>
      <c r="L4" s="4">
        <v>84777.34</v>
      </c>
      <c r="M4" s="4">
        <v>2418835.0699999998</v>
      </c>
      <c r="N4" s="4">
        <v>34225.279999999999</v>
      </c>
      <c r="O4" s="4">
        <v>1361251.44</v>
      </c>
      <c r="P4" s="4">
        <v>116500.53</v>
      </c>
      <c r="Q4" s="4">
        <v>319720.33</v>
      </c>
      <c r="R4" s="4">
        <v>26799211.02</v>
      </c>
      <c r="S4" s="4">
        <v>109871.03999999999</v>
      </c>
    </row>
    <row r="5" spans="1:20" x14ac:dyDescent="0.2">
      <c r="A5" s="1" t="s">
        <v>29</v>
      </c>
      <c r="B5" s="3">
        <f>SUM(Table13[[#This Row],[CARSON CITY]:[WHITE PINE]])</f>
        <v>57045310.149999991</v>
      </c>
      <c r="C5" s="4">
        <v>895088.15</v>
      </c>
      <c r="D5" s="4">
        <v>22665.45</v>
      </c>
      <c r="E5" s="4">
        <v>39897172.649999999</v>
      </c>
      <c r="F5" s="4">
        <v>2147606.71</v>
      </c>
      <c r="G5" s="4">
        <v>505248.7</v>
      </c>
      <c r="H5" s="4">
        <v>10239.9</v>
      </c>
      <c r="I5" s="4">
        <v>8756</v>
      </c>
      <c r="J5" s="4">
        <v>176994.4</v>
      </c>
      <c r="K5" s="4">
        <v>29201.33</v>
      </c>
      <c r="L5" s="4">
        <v>36229.599999999999</v>
      </c>
      <c r="M5" s="4">
        <v>1033690.35</v>
      </c>
      <c r="N5" s="4">
        <v>14657.1</v>
      </c>
      <c r="O5" s="4">
        <v>581732.25</v>
      </c>
      <c r="P5" s="4">
        <v>49786.55</v>
      </c>
      <c r="Q5" s="4">
        <v>136632.65</v>
      </c>
      <c r="R5" s="4">
        <v>11452654.949999999</v>
      </c>
      <c r="S5" s="4">
        <v>46953.41</v>
      </c>
    </row>
    <row r="6" spans="1:20" x14ac:dyDescent="0.2">
      <c r="A6" s="1" t="s">
        <v>30</v>
      </c>
      <c r="B6" s="3">
        <f>SUM(Table13[[#This Row],[CARSON CITY]:[WHITE PINE]])</f>
        <v>10404596.74</v>
      </c>
      <c r="C6" s="4">
        <v>162743.29999999999</v>
      </c>
      <c r="D6" s="4">
        <v>40411.1</v>
      </c>
      <c r="E6" s="4">
        <v>7250668.4000000004</v>
      </c>
      <c r="F6" s="4">
        <v>390473.81</v>
      </c>
      <c r="G6" s="4">
        <v>91863.4</v>
      </c>
      <c r="H6" s="4">
        <v>1861.8</v>
      </c>
      <c r="I6" s="4">
        <v>1592</v>
      </c>
      <c r="J6" s="4">
        <v>32180.799999999999</v>
      </c>
      <c r="K6" s="4">
        <v>5139.1000000000004</v>
      </c>
      <c r="L6" s="4">
        <v>6587.2</v>
      </c>
      <c r="M6" s="4">
        <v>187943.7</v>
      </c>
      <c r="N6" s="4">
        <v>2630.35</v>
      </c>
      <c r="O6" s="4">
        <v>105769.5</v>
      </c>
      <c r="P6" s="4">
        <v>9052.1</v>
      </c>
      <c r="Q6" s="4">
        <v>24842.3</v>
      </c>
      <c r="R6" s="4">
        <v>2082300.9</v>
      </c>
      <c r="S6" s="4">
        <v>8536.98</v>
      </c>
    </row>
    <row r="7" spans="1:20" x14ac:dyDescent="0.2">
      <c r="A7" s="1" t="s">
        <v>40</v>
      </c>
      <c r="B7" s="3">
        <f>SUM(Table13[[#This Row],[CARSON CITY]:[WHITE PINE]])</f>
        <v>1862975</v>
      </c>
      <c r="C7" s="4">
        <v>0</v>
      </c>
      <c r="D7" s="4">
        <v>40412.699999999997</v>
      </c>
      <c r="E7" s="4">
        <v>0</v>
      </c>
      <c r="F7" s="4">
        <v>0</v>
      </c>
      <c r="G7" s="4">
        <v>0</v>
      </c>
      <c r="H7" s="4">
        <v>0</v>
      </c>
      <c r="I7" s="4">
        <v>0</v>
      </c>
      <c r="J7" s="4">
        <v>0</v>
      </c>
      <c r="K7" s="4">
        <v>0</v>
      </c>
      <c r="L7" s="4">
        <v>0</v>
      </c>
      <c r="M7" s="4">
        <v>0</v>
      </c>
      <c r="N7" s="4">
        <v>0</v>
      </c>
      <c r="O7" s="4">
        <v>0</v>
      </c>
      <c r="P7" s="4">
        <v>0</v>
      </c>
      <c r="Q7" s="4">
        <v>0</v>
      </c>
      <c r="R7" s="4">
        <v>1822562.3</v>
      </c>
      <c r="S7" s="4">
        <v>0</v>
      </c>
    </row>
    <row r="8" spans="1:20" x14ac:dyDescent="0.2">
      <c r="A8" s="1" t="s">
        <v>41</v>
      </c>
      <c r="B8" s="3">
        <f>SUM(Table13[[#This Row],[CARSON CITY]:[WHITE PINE]])</f>
        <v>173755.61</v>
      </c>
      <c r="C8" s="4">
        <v>0</v>
      </c>
      <c r="D8" s="4">
        <v>173755.61</v>
      </c>
      <c r="E8" s="4">
        <v>0</v>
      </c>
      <c r="F8" s="4">
        <v>0</v>
      </c>
      <c r="G8" s="4">
        <v>0</v>
      </c>
      <c r="H8" s="4">
        <v>0</v>
      </c>
      <c r="I8" s="4">
        <v>0</v>
      </c>
      <c r="J8" s="4">
        <v>0</v>
      </c>
      <c r="K8" s="4">
        <v>0</v>
      </c>
      <c r="L8" s="4">
        <v>0</v>
      </c>
      <c r="M8" s="4">
        <v>0</v>
      </c>
      <c r="N8" s="4">
        <v>0</v>
      </c>
      <c r="O8" s="4">
        <v>0</v>
      </c>
      <c r="P8" s="4">
        <v>0</v>
      </c>
      <c r="Q8" s="4">
        <v>0</v>
      </c>
      <c r="R8" s="4">
        <v>0</v>
      </c>
      <c r="S8" s="4">
        <v>0</v>
      </c>
    </row>
    <row r="9" spans="1:20" x14ac:dyDescent="0.2">
      <c r="A9" s="1" t="s">
        <v>18</v>
      </c>
      <c r="B9" s="3">
        <f>SUM(Table13[[#This Row],[CARSON CITY]:[WHITE PINE]])</f>
        <v>3522153.9500000007</v>
      </c>
      <c r="C9" s="4">
        <v>7639</v>
      </c>
      <c r="D9" s="4">
        <v>2130.9899999999998</v>
      </c>
      <c r="E9" s="4">
        <v>1760151.41</v>
      </c>
      <c r="F9" s="4">
        <v>20366.38</v>
      </c>
      <c r="G9" s="4">
        <v>307312.39</v>
      </c>
      <c r="H9" s="4">
        <v>16096.31</v>
      </c>
      <c r="I9" s="4">
        <v>355561.68</v>
      </c>
      <c r="J9" s="4">
        <v>299172.78000000003</v>
      </c>
      <c r="K9" s="4">
        <v>202490.12</v>
      </c>
      <c r="L9" s="4">
        <v>4523.9799999999996</v>
      </c>
      <c r="M9" s="4">
        <v>248329.62</v>
      </c>
      <c r="N9" s="4">
        <v>0</v>
      </c>
      <c r="O9" s="4">
        <v>132232.32999999999</v>
      </c>
      <c r="P9" s="4">
        <v>127213.71</v>
      </c>
      <c r="Q9" s="4">
        <v>0</v>
      </c>
      <c r="R9" s="4">
        <v>34933.72</v>
      </c>
      <c r="S9" s="4">
        <v>3999.53</v>
      </c>
    </row>
    <row r="10" spans="1:20" x14ac:dyDescent="0.2">
      <c r="A10" s="1" t="s">
        <v>19</v>
      </c>
      <c r="B10" s="3">
        <f>SUM(Table13[[#This Row],[CARSON CITY]:[WHITE PINE]])</f>
        <v>336350</v>
      </c>
      <c r="C10" s="4">
        <v>2128</v>
      </c>
      <c r="D10" s="4">
        <v>896</v>
      </c>
      <c r="E10" s="4">
        <v>295664</v>
      </c>
      <c r="F10" s="4">
        <v>2768</v>
      </c>
      <c r="G10" s="4">
        <v>1672</v>
      </c>
      <c r="H10" s="4">
        <v>41</v>
      </c>
      <c r="I10" s="4">
        <v>16</v>
      </c>
      <c r="J10" s="4">
        <v>696</v>
      </c>
      <c r="K10" s="4">
        <v>172</v>
      </c>
      <c r="L10" s="4">
        <v>121</v>
      </c>
      <c r="M10" s="4">
        <v>508</v>
      </c>
      <c r="N10" s="4">
        <v>76</v>
      </c>
      <c r="O10" s="4">
        <v>728</v>
      </c>
      <c r="P10" s="4">
        <v>112</v>
      </c>
      <c r="Q10" s="4">
        <v>612</v>
      </c>
      <c r="R10" s="4">
        <v>29556</v>
      </c>
      <c r="S10" s="4">
        <v>584</v>
      </c>
    </row>
    <row r="11" spans="1:20" x14ac:dyDescent="0.2">
      <c r="A11" s="1" t="s">
        <v>20</v>
      </c>
      <c r="B11" s="3">
        <f>SUM(Table13[[#This Row],[CARSON CITY]:[WHITE PINE]])</f>
        <v>1360985.29</v>
      </c>
      <c r="C11" s="4">
        <v>15968</v>
      </c>
      <c r="D11" s="4">
        <v>20480</v>
      </c>
      <c r="E11" s="4">
        <v>1087860.19</v>
      </c>
      <c r="F11" s="4">
        <v>20762.099999999999</v>
      </c>
      <c r="G11" s="4">
        <v>11840</v>
      </c>
      <c r="H11" s="4">
        <v>483</v>
      </c>
      <c r="I11" s="4">
        <v>736</v>
      </c>
      <c r="J11" s="4">
        <v>11008</v>
      </c>
      <c r="K11" s="4">
        <v>32</v>
      </c>
      <c r="L11" s="4">
        <v>1458</v>
      </c>
      <c r="M11" s="4">
        <v>17024</v>
      </c>
      <c r="N11" s="4">
        <v>1660</v>
      </c>
      <c r="O11" s="4">
        <v>24672</v>
      </c>
      <c r="P11" s="4">
        <v>1696</v>
      </c>
      <c r="Q11" s="4">
        <v>1664</v>
      </c>
      <c r="R11" s="4">
        <v>136256</v>
      </c>
      <c r="S11" s="4">
        <v>7386</v>
      </c>
    </row>
    <row r="12" spans="1:20" x14ac:dyDescent="0.2">
      <c r="A12" s="1" t="s">
        <v>32</v>
      </c>
      <c r="B12" s="3">
        <f>SUM(Table13[[#This Row],[CARSON CITY]:[WHITE PINE]])</f>
        <v>0</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row>
    <row r="13" spans="1:20" x14ac:dyDescent="0.2">
      <c r="A13" s="1" t="s">
        <v>17</v>
      </c>
      <c r="B13" s="3">
        <f>SUM(Table13[[#This Row],[CARSON CITY]:[WHITE PINE]])</f>
        <v>426983.98</v>
      </c>
      <c r="C13" s="4">
        <v>7650</v>
      </c>
      <c r="D13" s="4">
        <v>14460</v>
      </c>
      <c r="E13" s="4">
        <v>320443.98</v>
      </c>
      <c r="F13" s="4">
        <v>9090</v>
      </c>
      <c r="G13" s="4">
        <v>3870</v>
      </c>
      <c r="H13" s="4"/>
      <c r="I13" s="4">
        <v>120</v>
      </c>
      <c r="J13" s="4">
        <v>6660</v>
      </c>
      <c r="K13" s="4">
        <v>0</v>
      </c>
      <c r="L13" s="4">
        <v>360</v>
      </c>
      <c r="M13" s="4">
        <v>4790</v>
      </c>
      <c r="N13" s="4">
        <v>240</v>
      </c>
      <c r="O13" s="4">
        <v>11460</v>
      </c>
      <c r="P13" s="4"/>
      <c r="Q13" s="4">
        <v>500</v>
      </c>
      <c r="R13" s="4">
        <v>45870</v>
      </c>
      <c r="S13" s="4">
        <v>1470</v>
      </c>
    </row>
    <row r="14" spans="1:20" x14ac:dyDescent="0.2">
      <c r="A14" s="1" t="s">
        <v>21</v>
      </c>
      <c r="B14" s="3">
        <f>SUM(Table13[[#This Row],[CARSON CITY]:[WHITE PINE]])</f>
        <v>20052969.060000006</v>
      </c>
      <c r="C14" s="4">
        <v>122622.63</v>
      </c>
      <c r="D14" s="4">
        <v>219278.87</v>
      </c>
      <c r="E14" s="4">
        <v>13932767.08</v>
      </c>
      <c r="F14" s="4">
        <v>159679.75</v>
      </c>
      <c r="G14" s="4">
        <v>346853.09</v>
      </c>
      <c r="H14" s="4">
        <v>16087.96</v>
      </c>
      <c r="I14" s="4">
        <v>1444119.4</v>
      </c>
      <c r="J14" s="4">
        <v>212294.22</v>
      </c>
      <c r="K14" s="4">
        <v>491220.95</v>
      </c>
      <c r="L14" s="4">
        <v>5029.96</v>
      </c>
      <c r="M14" s="4">
        <v>339117.1</v>
      </c>
      <c r="N14" s="4">
        <v>74305.5</v>
      </c>
      <c r="O14" s="4">
        <v>392125.36</v>
      </c>
      <c r="P14" s="4">
        <v>174284.24</v>
      </c>
      <c r="Q14" s="4">
        <v>272380.51</v>
      </c>
      <c r="R14" s="4">
        <v>1588320.98</v>
      </c>
      <c r="S14" s="4">
        <v>262481.46000000002</v>
      </c>
    </row>
    <row r="15" spans="1:20" x14ac:dyDescent="0.2">
      <c r="A15" s="1" t="s">
        <v>22</v>
      </c>
      <c r="B15" s="3">
        <f>SUM(Table13[[#This Row],[CARSON CITY]:[WHITE PINE]])</f>
        <v>160694182.95999998</v>
      </c>
      <c r="C15" s="4">
        <v>2416668.16</v>
      </c>
      <c r="D15" s="4">
        <v>891019.44</v>
      </c>
      <c r="E15" s="4">
        <v>115390329.90000001</v>
      </c>
      <c r="F15" s="4">
        <v>5077219.47</v>
      </c>
      <c r="G15" s="4">
        <v>2315529.27</v>
      </c>
      <c r="H15" s="4">
        <v>52137.66</v>
      </c>
      <c r="I15" s="4">
        <v>991271.53</v>
      </c>
      <c r="J15" s="4">
        <v>978116.82</v>
      </c>
      <c r="K15" s="4">
        <v>392098.56</v>
      </c>
      <c r="L15" s="4">
        <v>258529.95</v>
      </c>
      <c r="M15" s="4">
        <v>2215367.79</v>
      </c>
      <c r="N15" s="4">
        <v>100349.8</v>
      </c>
      <c r="O15" s="4">
        <v>1948437.85</v>
      </c>
      <c r="P15" s="4">
        <v>183482.32</v>
      </c>
      <c r="Q15" s="4">
        <v>800577.28</v>
      </c>
      <c r="R15" s="4">
        <v>26307126.870000001</v>
      </c>
      <c r="S15" s="4">
        <v>375920.29</v>
      </c>
    </row>
    <row r="16" spans="1:20" x14ac:dyDescent="0.2">
      <c r="A16" s="1" t="s">
        <v>38</v>
      </c>
      <c r="B16" s="3">
        <f>SUM(Table13[[#This Row],[CARSON CITY]:[WHITE PINE]])</f>
        <v>10690859.270000003</v>
      </c>
      <c r="C16" s="4">
        <v>145400</v>
      </c>
      <c r="D16" s="4">
        <v>5163.9799999999996</v>
      </c>
      <c r="E16" s="4">
        <v>7477110</v>
      </c>
      <c r="F16" s="4">
        <v>250000</v>
      </c>
      <c r="G16" s="4">
        <v>278018.03000000003</v>
      </c>
      <c r="H16" s="4">
        <v>12019.36</v>
      </c>
      <c r="I16" s="4">
        <v>120814.92</v>
      </c>
      <c r="J16" s="4">
        <v>163838.97</v>
      </c>
      <c r="K16" s="4">
        <v>145107.18</v>
      </c>
      <c r="L16" s="4">
        <v>23999.73</v>
      </c>
      <c r="M16" s="4">
        <v>137847.16</v>
      </c>
      <c r="N16" s="4">
        <v>26668.48</v>
      </c>
      <c r="O16" s="4">
        <v>150000</v>
      </c>
      <c r="P16" s="4">
        <v>31726.73</v>
      </c>
      <c r="Q16" s="4">
        <v>11520</v>
      </c>
      <c r="R16" s="4">
        <v>1677303.21</v>
      </c>
      <c r="S16" s="4">
        <v>34321.519999999997</v>
      </c>
    </row>
    <row r="17" spans="1:19" x14ac:dyDescent="0.2">
      <c r="A17" s="1" t="s">
        <v>23</v>
      </c>
      <c r="B17" s="3">
        <f>SUM(Table13[[#This Row],[CARSON CITY]:[WHITE PINE]])</f>
        <v>16554810.350000001</v>
      </c>
      <c r="C17" s="4">
        <v>226578.1</v>
      </c>
      <c r="D17" s="4">
        <v>118725.02</v>
      </c>
      <c r="E17" s="4">
        <v>11393834</v>
      </c>
      <c r="F17" s="4">
        <v>467588.31</v>
      </c>
      <c r="G17" s="4">
        <v>372661.48</v>
      </c>
      <c r="H17" s="4">
        <v>11358.36</v>
      </c>
      <c r="I17" s="4">
        <v>273972.65999999997</v>
      </c>
      <c r="J17" s="4">
        <v>245766.18</v>
      </c>
      <c r="K17" s="4">
        <v>217659.97</v>
      </c>
      <c r="L17" s="4">
        <v>36001.57</v>
      </c>
      <c r="M17" s="4">
        <v>206770.72</v>
      </c>
      <c r="N17" s="4">
        <v>19048.91</v>
      </c>
      <c r="O17" s="4">
        <v>212220.59</v>
      </c>
      <c r="P17" s="4">
        <v>47568.83</v>
      </c>
      <c r="Q17" s="4">
        <v>106154.23</v>
      </c>
      <c r="R17" s="4">
        <v>2512729.4</v>
      </c>
      <c r="S17" s="4">
        <v>86172.02</v>
      </c>
    </row>
    <row r="18" spans="1:19" x14ac:dyDescent="0.2">
      <c r="A18" s="1" t="s">
        <v>42</v>
      </c>
      <c r="B18" s="3">
        <f>SUM(Table13[[#This Row],[CARSON CITY]:[WHITE PINE]])</f>
        <v>5025476</v>
      </c>
      <c r="C18" s="4">
        <v>0</v>
      </c>
      <c r="D18" s="4">
        <v>0</v>
      </c>
      <c r="E18" s="4">
        <v>0</v>
      </c>
      <c r="F18" s="4">
        <v>0</v>
      </c>
      <c r="G18" s="4">
        <v>0</v>
      </c>
      <c r="H18" s="4">
        <v>0</v>
      </c>
      <c r="I18" s="4">
        <v>0</v>
      </c>
      <c r="J18" s="4">
        <v>0</v>
      </c>
      <c r="K18" s="4">
        <v>0</v>
      </c>
      <c r="L18" s="4">
        <v>0</v>
      </c>
      <c r="M18" s="4">
        <v>0</v>
      </c>
      <c r="N18" s="4">
        <v>0</v>
      </c>
      <c r="O18" s="4">
        <v>0</v>
      </c>
      <c r="P18" s="4">
        <v>0</v>
      </c>
      <c r="Q18" s="4">
        <v>0</v>
      </c>
      <c r="R18" s="4">
        <v>5025476</v>
      </c>
      <c r="S18" s="4">
        <v>0</v>
      </c>
    </row>
    <row r="19" spans="1:19" x14ac:dyDescent="0.2">
      <c r="A19" s="1" t="s">
        <v>43</v>
      </c>
      <c r="B19" s="3">
        <f>SUM(Table13[[#This Row],[CARSON CITY]:[WHITE PINE]])</f>
        <v>4476.43</v>
      </c>
      <c r="C19" s="4">
        <v>0</v>
      </c>
      <c r="D19" s="4">
        <v>0</v>
      </c>
      <c r="E19" s="4">
        <v>2881.73</v>
      </c>
      <c r="F19" s="4">
        <v>0</v>
      </c>
      <c r="G19" s="4">
        <v>0</v>
      </c>
      <c r="H19" s="4">
        <v>0</v>
      </c>
      <c r="I19" s="4">
        <v>0</v>
      </c>
      <c r="J19" s="4">
        <v>334.47</v>
      </c>
      <c r="K19" s="4">
        <v>0</v>
      </c>
      <c r="L19" s="4">
        <v>0</v>
      </c>
      <c r="M19" s="4">
        <v>0</v>
      </c>
      <c r="N19" s="4">
        <v>0</v>
      </c>
      <c r="O19" s="4">
        <v>1260.23</v>
      </c>
      <c r="P19" s="4">
        <v>0</v>
      </c>
      <c r="Q19" s="4">
        <v>0</v>
      </c>
      <c r="R19" s="4">
        <v>0</v>
      </c>
      <c r="S19" s="4">
        <v>0</v>
      </c>
    </row>
    <row r="20" spans="1:19" x14ac:dyDescent="0.2">
      <c r="A20" s="1" t="s">
        <v>44</v>
      </c>
      <c r="B20" s="3">
        <f>SUM(Table13[[#This Row],[CARSON CITY]:[WHITE PINE]])</f>
        <v>5025476</v>
      </c>
      <c r="C20" s="4">
        <v>0</v>
      </c>
      <c r="D20" s="4">
        <v>0</v>
      </c>
      <c r="E20" s="4">
        <v>0</v>
      </c>
      <c r="F20" s="4">
        <v>0</v>
      </c>
      <c r="G20" s="4">
        <v>0</v>
      </c>
      <c r="H20" s="4">
        <v>0</v>
      </c>
      <c r="I20" s="4">
        <v>0</v>
      </c>
      <c r="J20" s="4">
        <v>0</v>
      </c>
      <c r="K20" s="4">
        <v>0</v>
      </c>
      <c r="L20" s="4">
        <v>0</v>
      </c>
      <c r="M20" s="4">
        <v>0</v>
      </c>
      <c r="N20" s="4">
        <v>0</v>
      </c>
      <c r="O20" s="4">
        <v>0</v>
      </c>
      <c r="P20" s="4">
        <v>0</v>
      </c>
      <c r="Q20" s="4">
        <v>0</v>
      </c>
      <c r="R20" s="4">
        <v>5025476</v>
      </c>
      <c r="S20" s="4">
        <v>0</v>
      </c>
    </row>
    <row r="21" spans="1:19" x14ac:dyDescent="0.2">
      <c r="A21" s="1" t="s">
        <v>62</v>
      </c>
      <c r="B21" s="3">
        <f>SUM(Table13[[#This Row],[CARSON CITY]:[WHITE PINE]])</f>
        <v>0</v>
      </c>
      <c r="C21" s="4">
        <v>0</v>
      </c>
      <c r="D21" s="4">
        <v>0</v>
      </c>
      <c r="E21" s="4">
        <v>0</v>
      </c>
      <c r="F21" s="4">
        <v>0</v>
      </c>
      <c r="G21" s="4">
        <v>0</v>
      </c>
      <c r="H21" s="4">
        <v>0</v>
      </c>
      <c r="I21" s="4">
        <v>0</v>
      </c>
      <c r="J21" s="4">
        <v>0</v>
      </c>
      <c r="K21" s="4">
        <v>0</v>
      </c>
      <c r="L21" s="4">
        <v>0</v>
      </c>
      <c r="M21" s="4">
        <v>0</v>
      </c>
      <c r="N21" s="4">
        <v>0</v>
      </c>
      <c r="O21" s="4">
        <v>0</v>
      </c>
      <c r="P21" s="4">
        <v>0</v>
      </c>
      <c r="Q21" s="4">
        <v>0</v>
      </c>
      <c r="R21" s="4">
        <v>0</v>
      </c>
      <c r="S21" s="4">
        <v>0</v>
      </c>
    </row>
    <row r="22" spans="1:19" x14ac:dyDescent="0.2">
      <c r="A22" s="1" t="s">
        <v>24</v>
      </c>
      <c r="B22" s="3">
        <f>SUM(Table13[[#This Row],[CARSON CITY]:[WHITE PINE]])</f>
        <v>61437.04</v>
      </c>
      <c r="C22" s="4">
        <v>1236</v>
      </c>
      <c r="D22" s="4">
        <v>1645.5</v>
      </c>
      <c r="E22" s="4">
        <v>33836.129999999997</v>
      </c>
      <c r="F22" s="4">
        <v>2020.28</v>
      </c>
      <c r="G22" s="4">
        <v>3200.05</v>
      </c>
      <c r="H22" s="4">
        <v>175</v>
      </c>
      <c r="I22" s="4">
        <v>0</v>
      </c>
      <c r="J22" s="4">
        <v>547.04</v>
      </c>
      <c r="K22" s="4">
        <v>200</v>
      </c>
      <c r="L22" s="4">
        <v>340</v>
      </c>
      <c r="M22" s="4">
        <v>2216.86</v>
      </c>
      <c r="N22" s="4">
        <v>434</v>
      </c>
      <c r="O22" s="4">
        <v>756.92</v>
      </c>
      <c r="P22" s="4">
        <v>770</v>
      </c>
      <c r="Q22" s="4">
        <v>40</v>
      </c>
      <c r="R22" s="4">
        <v>13357.79</v>
      </c>
      <c r="S22" s="4">
        <v>661.47</v>
      </c>
    </row>
    <row r="23" spans="1:19" x14ac:dyDescent="0.2">
      <c r="A23" s="1" t="s">
        <v>45</v>
      </c>
      <c r="B23" s="3">
        <f>SUM(Table13[[#This Row],[CARSON CITY]:[WHITE PINE]])</f>
        <v>56494.05</v>
      </c>
      <c r="C23" s="4">
        <v>2824.9</v>
      </c>
      <c r="D23" s="21">
        <v>1137.5</v>
      </c>
      <c r="E23" s="24">
        <v>39824</v>
      </c>
      <c r="F23" s="21">
        <v>1365</v>
      </c>
      <c r="G23" s="21">
        <v>815</v>
      </c>
      <c r="H23" s="4">
        <v>105</v>
      </c>
      <c r="I23" s="4">
        <v>0</v>
      </c>
      <c r="J23" s="4">
        <v>45</v>
      </c>
      <c r="K23" s="21">
        <v>70</v>
      </c>
      <c r="L23" s="4">
        <v>930.96</v>
      </c>
      <c r="M23" s="21">
        <v>930.96</v>
      </c>
      <c r="N23" s="4">
        <v>0</v>
      </c>
      <c r="O23" s="21">
        <v>370</v>
      </c>
      <c r="P23" s="4">
        <v>195</v>
      </c>
      <c r="Q23" s="4">
        <v>55</v>
      </c>
      <c r="R23" s="21">
        <v>7545.73</v>
      </c>
      <c r="S23" s="21">
        <v>280</v>
      </c>
    </row>
    <row r="24" spans="1:19" x14ac:dyDescent="0.2">
      <c r="A24" s="1" t="s">
        <v>25</v>
      </c>
      <c r="B24" s="3">
        <f>SUM(Table13[[#This Row],[CARSON CITY]:[WHITE PINE]])</f>
        <v>158108.52000000002</v>
      </c>
      <c r="C24" s="4">
        <v>12252</v>
      </c>
      <c r="D24" s="4">
        <v>4820</v>
      </c>
      <c r="E24" s="4">
        <v>109906.52</v>
      </c>
      <c r="F24" s="4">
        <v>3030</v>
      </c>
      <c r="G24" s="4">
        <v>1430</v>
      </c>
      <c r="H24" s="4">
        <v>10</v>
      </c>
      <c r="I24" s="4">
        <v>40</v>
      </c>
      <c r="J24" s="4">
        <v>2220</v>
      </c>
      <c r="K24" s="4">
        <v>2880</v>
      </c>
      <c r="L24" s="4">
        <v>120</v>
      </c>
      <c r="M24" s="4">
        <v>1530</v>
      </c>
      <c r="N24" s="4">
        <v>140</v>
      </c>
      <c r="O24" s="4">
        <v>3820</v>
      </c>
      <c r="P24" s="4">
        <v>300</v>
      </c>
      <c r="Q24" s="4">
        <v>170</v>
      </c>
      <c r="R24" s="4">
        <v>15440</v>
      </c>
      <c r="S24" s="4">
        <v>0</v>
      </c>
    </row>
    <row r="25" spans="1:19" x14ac:dyDescent="0.2">
      <c r="A25" s="1" t="s">
        <v>26</v>
      </c>
      <c r="B25" s="3">
        <f>SUM(Table13[[#This Row],[CARSON CITY]:[WHITE PINE]])</f>
        <v>4865917.58</v>
      </c>
      <c r="C25" s="4">
        <v>83375.100000000006</v>
      </c>
      <c r="D25" s="4">
        <v>61083.06</v>
      </c>
      <c r="E25" s="4">
        <v>2909473.37</v>
      </c>
      <c r="F25" s="4">
        <v>100110</v>
      </c>
      <c r="G25" s="4">
        <v>196674.85</v>
      </c>
      <c r="H25" s="4">
        <v>6529.5</v>
      </c>
      <c r="I25" s="4">
        <v>15468</v>
      </c>
      <c r="J25" s="4">
        <v>0</v>
      </c>
      <c r="K25" s="4">
        <v>1636</v>
      </c>
      <c r="L25" s="4">
        <v>23831.97</v>
      </c>
      <c r="M25" s="4">
        <v>88742.6</v>
      </c>
      <c r="N25" s="4">
        <v>957.67</v>
      </c>
      <c r="O25" s="4">
        <v>272196.52</v>
      </c>
      <c r="P25" s="4">
        <v>4300</v>
      </c>
      <c r="Q25" s="4">
        <v>7003</v>
      </c>
      <c r="R25" s="4">
        <v>1037751.19</v>
      </c>
      <c r="S25" s="4">
        <v>56784.75</v>
      </c>
    </row>
    <row r="26" spans="1:19" x14ac:dyDescent="0.2">
      <c r="A26" s="1" t="s">
        <v>27</v>
      </c>
      <c r="B26" s="3">
        <f>SUM(Table13[[#This Row],[CARSON CITY]:[WHITE PINE]])</f>
        <v>529014.19000000006</v>
      </c>
      <c r="C26" s="4">
        <v>23205.43</v>
      </c>
      <c r="D26" s="4">
        <v>18722.84</v>
      </c>
      <c r="E26" s="4">
        <v>224209.62</v>
      </c>
      <c r="F26" s="4">
        <v>25634.65</v>
      </c>
      <c r="G26" s="4">
        <v>26247.05</v>
      </c>
      <c r="H26" s="4">
        <v>0</v>
      </c>
      <c r="I26" s="4">
        <v>0</v>
      </c>
      <c r="J26" s="4">
        <v>4822</v>
      </c>
      <c r="K26" s="4">
        <v>1160.94</v>
      </c>
      <c r="L26" s="4">
        <v>1200</v>
      </c>
      <c r="M26" s="4">
        <v>15972.95</v>
      </c>
      <c r="N26" s="4">
        <v>6327</v>
      </c>
      <c r="O26" s="4">
        <v>12624.1</v>
      </c>
      <c r="P26" s="4">
        <v>4450</v>
      </c>
      <c r="Q26" s="4">
        <v>0</v>
      </c>
      <c r="R26" s="4">
        <v>152563.74</v>
      </c>
      <c r="S26" s="4">
        <v>11873.87</v>
      </c>
    </row>
    <row r="27" spans="1:19" x14ac:dyDescent="0.2">
      <c r="A27" s="1" t="s">
        <v>106</v>
      </c>
      <c r="B27" s="3">
        <f>SUM(Table13[[#This Row],[CARSON CITY]:[WHITE PINE]])</f>
        <v>1067841.1400000001</v>
      </c>
      <c r="C27" s="4">
        <v>0</v>
      </c>
      <c r="D27" s="4">
        <v>0</v>
      </c>
      <c r="E27" s="21">
        <v>967284.89</v>
      </c>
      <c r="F27" s="4">
        <v>0</v>
      </c>
      <c r="G27" s="4">
        <v>29113</v>
      </c>
      <c r="H27" s="4">
        <v>0</v>
      </c>
      <c r="I27" s="4">
        <v>0</v>
      </c>
      <c r="J27" s="4">
        <v>13963</v>
      </c>
      <c r="K27" s="4">
        <v>0</v>
      </c>
      <c r="L27" s="4">
        <v>0</v>
      </c>
      <c r="M27" s="21">
        <v>7100.25</v>
      </c>
      <c r="N27" s="4">
        <v>0</v>
      </c>
      <c r="O27" s="4">
        <v>29740</v>
      </c>
      <c r="P27" s="4">
        <v>0</v>
      </c>
      <c r="Q27" s="4">
        <v>20640</v>
      </c>
      <c r="R27" s="4">
        <v>0</v>
      </c>
      <c r="S27" s="4">
        <v>0</v>
      </c>
    </row>
    <row r="28" spans="1:19" x14ac:dyDescent="0.2">
      <c r="A28" s="1" t="s">
        <v>39</v>
      </c>
      <c r="B28" s="3">
        <f>SUM(Table13[[#This Row],[CARSON CITY]:[WHITE PINE]])</f>
        <v>847</v>
      </c>
      <c r="C28" s="4">
        <v>0</v>
      </c>
      <c r="D28" s="4">
        <v>0</v>
      </c>
      <c r="E28" s="21">
        <v>450</v>
      </c>
      <c r="F28" s="4">
        <v>0</v>
      </c>
      <c r="G28" s="4">
        <v>0</v>
      </c>
      <c r="H28" s="4">
        <v>0</v>
      </c>
      <c r="I28" s="4">
        <v>0</v>
      </c>
      <c r="J28" s="4">
        <v>0</v>
      </c>
      <c r="K28" s="4">
        <v>0</v>
      </c>
      <c r="L28" s="4">
        <v>0</v>
      </c>
      <c r="M28" s="4">
        <v>0</v>
      </c>
      <c r="N28" s="4">
        <v>0</v>
      </c>
      <c r="O28" s="4">
        <v>0</v>
      </c>
      <c r="P28" s="4">
        <v>0</v>
      </c>
      <c r="Q28" s="4">
        <v>0</v>
      </c>
      <c r="R28" s="4">
        <v>250</v>
      </c>
      <c r="S28" s="4">
        <v>147</v>
      </c>
    </row>
    <row r="29" spans="1:19" x14ac:dyDescent="0.2">
      <c r="A29" s="1" t="s">
        <v>58</v>
      </c>
      <c r="B29" s="3">
        <f>SUM(Table13[[#This Row],[CARSON CITY]:[WHITE PINE]])</f>
        <v>139574.97</v>
      </c>
      <c r="C29" s="4">
        <v>655</v>
      </c>
      <c r="D29" s="4">
        <v>70</v>
      </c>
      <c r="E29" s="4">
        <v>131154.97</v>
      </c>
      <c r="F29" s="4">
        <v>635</v>
      </c>
      <c r="G29" s="4">
        <v>110</v>
      </c>
      <c r="H29" s="4">
        <v>0</v>
      </c>
      <c r="I29" s="4">
        <v>10</v>
      </c>
      <c r="J29" s="4">
        <v>100</v>
      </c>
      <c r="K29" s="4">
        <v>0</v>
      </c>
      <c r="L29" s="4">
        <v>20</v>
      </c>
      <c r="M29" s="4">
        <v>290</v>
      </c>
      <c r="N29" s="4">
        <v>0</v>
      </c>
      <c r="O29" s="4">
        <v>415</v>
      </c>
      <c r="P29" s="4">
        <v>20</v>
      </c>
      <c r="Q29" s="4">
        <v>40</v>
      </c>
      <c r="R29" s="4">
        <v>5965</v>
      </c>
      <c r="S29" s="4">
        <v>90</v>
      </c>
    </row>
    <row r="30" spans="1:19" x14ac:dyDescent="0.2">
      <c r="A30" s="1" t="s">
        <v>59</v>
      </c>
      <c r="B30" s="3">
        <f>SUM(Table13[[#This Row],[CARSON CITY]:[WHITE PINE]])</f>
        <v>75632.45</v>
      </c>
      <c r="C30" s="4">
        <v>425</v>
      </c>
      <c r="D30" s="4">
        <v>35</v>
      </c>
      <c r="E30" s="4">
        <v>70302.45</v>
      </c>
      <c r="F30" s="4">
        <v>385</v>
      </c>
      <c r="G30" s="4">
        <v>20</v>
      </c>
      <c r="H30" s="4">
        <v>0</v>
      </c>
      <c r="I30" s="4">
        <v>5</v>
      </c>
      <c r="J30" s="4">
        <v>125</v>
      </c>
      <c r="K30" s="4">
        <v>0</v>
      </c>
      <c r="L30" s="4">
        <v>10</v>
      </c>
      <c r="M30" s="4">
        <v>220</v>
      </c>
      <c r="N30" s="4">
        <v>0</v>
      </c>
      <c r="O30" s="4">
        <v>260</v>
      </c>
      <c r="P30" s="4">
        <v>25</v>
      </c>
      <c r="Q30" s="4">
        <v>20</v>
      </c>
      <c r="R30" s="4">
        <v>3755</v>
      </c>
      <c r="S30" s="4">
        <v>45</v>
      </c>
    </row>
    <row r="31" spans="1:19" x14ac:dyDescent="0.2">
      <c r="A31" s="1" t="s">
        <v>34</v>
      </c>
      <c r="B31" s="3">
        <f>SUM(Table13[[#This Row],[CARSON CITY]:[WHITE PINE]])</f>
        <v>53378</v>
      </c>
      <c r="C31" s="4">
        <v>750</v>
      </c>
      <c r="D31" s="4">
        <v>0</v>
      </c>
      <c r="E31" s="4">
        <v>46900</v>
      </c>
      <c r="F31" s="4">
        <v>600</v>
      </c>
      <c r="G31" s="4">
        <v>3250</v>
      </c>
      <c r="H31" s="4">
        <v>0</v>
      </c>
      <c r="I31" s="4">
        <v>0</v>
      </c>
      <c r="J31" s="4">
        <v>0</v>
      </c>
      <c r="K31" s="4">
        <v>0</v>
      </c>
      <c r="L31" s="4">
        <v>0</v>
      </c>
      <c r="M31" s="4">
        <v>0</v>
      </c>
      <c r="N31" s="4">
        <v>0</v>
      </c>
      <c r="O31" s="4">
        <v>878</v>
      </c>
      <c r="P31" s="4">
        <v>0</v>
      </c>
      <c r="Q31" s="4">
        <v>0</v>
      </c>
      <c r="R31" s="4">
        <v>0</v>
      </c>
      <c r="S31" s="4">
        <v>1000</v>
      </c>
    </row>
    <row r="32" spans="1:19" x14ac:dyDescent="0.2">
      <c r="A32" s="1" t="s">
        <v>33</v>
      </c>
      <c r="B32" s="3">
        <f>SUM(Table13[[#This Row],[CARSON CITY]:[WHITE PINE]])</f>
        <v>505782</v>
      </c>
      <c r="C32" s="4">
        <v>6750</v>
      </c>
      <c r="D32" s="4">
        <v>0</v>
      </c>
      <c r="E32" s="4">
        <v>422100</v>
      </c>
      <c r="F32" s="4">
        <v>5400</v>
      </c>
      <c r="G32" s="4">
        <v>29250</v>
      </c>
      <c r="H32" s="4">
        <v>0</v>
      </c>
      <c r="I32" s="4">
        <v>0</v>
      </c>
      <c r="J32" s="4">
        <v>0</v>
      </c>
      <c r="K32" s="4">
        <v>0</v>
      </c>
      <c r="L32" s="4">
        <v>0</v>
      </c>
      <c r="M32" s="4">
        <v>0</v>
      </c>
      <c r="N32" s="4">
        <v>0</v>
      </c>
      <c r="O32" s="4">
        <v>7902</v>
      </c>
      <c r="P32" s="4">
        <v>0</v>
      </c>
      <c r="Q32" s="4">
        <v>0</v>
      </c>
      <c r="R32" s="4">
        <v>25380</v>
      </c>
      <c r="S32" s="4">
        <v>9000</v>
      </c>
    </row>
    <row r="33" spans="1:21" x14ac:dyDescent="0.2">
      <c r="A33" s="1" t="s">
        <v>46</v>
      </c>
      <c r="B33" s="3">
        <f>SUM(Table13[[#This Row],[CARSON CITY]:[WHITE PINE]])</f>
        <v>451398.99</v>
      </c>
      <c r="C33" s="4">
        <v>11075</v>
      </c>
      <c r="D33" s="21">
        <v>4820</v>
      </c>
      <c r="E33" s="21">
        <v>358873</v>
      </c>
      <c r="F33" s="21">
        <v>6850</v>
      </c>
      <c r="G33" s="21">
        <v>6743</v>
      </c>
      <c r="H33" s="4">
        <v>0</v>
      </c>
      <c r="I33" s="4">
        <v>150</v>
      </c>
      <c r="J33" s="4">
        <v>3325</v>
      </c>
      <c r="K33" s="4">
        <v>131.25</v>
      </c>
      <c r="L33" s="4">
        <v>175</v>
      </c>
      <c r="M33" s="21">
        <v>7525</v>
      </c>
      <c r="N33" s="21">
        <v>2200</v>
      </c>
      <c r="O33" s="21">
        <v>4700</v>
      </c>
      <c r="P33" s="4">
        <v>634.39</v>
      </c>
      <c r="Q33" s="4">
        <v>1775</v>
      </c>
      <c r="R33" s="21">
        <v>41572.35</v>
      </c>
      <c r="S33" s="21">
        <v>850</v>
      </c>
    </row>
    <row r="34" spans="1:21" x14ac:dyDescent="0.2">
      <c r="A34" s="1" t="s">
        <v>47</v>
      </c>
      <c r="B34" s="3">
        <f>SUM(Table13[[#This Row],[CARSON CITY]:[WHITE PINE]])</f>
        <v>149688</v>
      </c>
      <c r="C34" s="4">
        <v>385</v>
      </c>
      <c r="D34" s="4">
        <v>1645</v>
      </c>
      <c r="E34" s="4">
        <v>460</v>
      </c>
      <c r="F34" s="4">
        <v>7800</v>
      </c>
      <c r="G34" s="4">
        <v>6575</v>
      </c>
      <c r="H34" s="4">
        <v>70</v>
      </c>
      <c r="I34" s="4">
        <v>55</v>
      </c>
      <c r="J34" s="4">
        <v>2160</v>
      </c>
      <c r="K34" s="4">
        <v>335</v>
      </c>
      <c r="L34" s="4">
        <v>185</v>
      </c>
      <c r="M34" s="4">
        <v>995</v>
      </c>
      <c r="N34" s="4">
        <v>285</v>
      </c>
      <c r="O34" s="4">
        <v>1055</v>
      </c>
      <c r="P34" s="4">
        <v>225</v>
      </c>
      <c r="Q34" s="4">
        <v>1170</v>
      </c>
      <c r="R34" s="4">
        <v>125800</v>
      </c>
      <c r="S34" s="4">
        <v>488</v>
      </c>
    </row>
    <row r="35" spans="1:21" x14ac:dyDescent="0.2">
      <c r="A35" s="1" t="s">
        <v>48</v>
      </c>
      <c r="B35" s="3">
        <f>SUM(Table13[[#This Row],[CARSON CITY]:[WHITE PINE]])</f>
        <v>807323</v>
      </c>
      <c r="C35" s="4">
        <v>14525</v>
      </c>
      <c r="D35" s="4">
        <v>0</v>
      </c>
      <c r="E35" s="4">
        <v>792640</v>
      </c>
      <c r="F35" s="4">
        <v>0</v>
      </c>
      <c r="G35" s="4">
        <v>0</v>
      </c>
      <c r="H35" s="4">
        <v>0</v>
      </c>
      <c r="I35" s="4">
        <v>158</v>
      </c>
      <c r="J35" s="4">
        <v>0</v>
      </c>
      <c r="K35" s="4">
        <v>0</v>
      </c>
      <c r="L35" s="4">
        <v>0</v>
      </c>
      <c r="M35" s="4">
        <v>0</v>
      </c>
      <c r="N35" s="4">
        <v>0</v>
      </c>
      <c r="O35" s="4">
        <v>0</v>
      </c>
      <c r="P35" s="4">
        <v>0</v>
      </c>
      <c r="Q35" s="4">
        <v>0</v>
      </c>
      <c r="R35" s="4">
        <v>0</v>
      </c>
      <c r="S35" s="4">
        <v>0</v>
      </c>
    </row>
    <row r="36" spans="1:21" x14ac:dyDescent="0.2">
      <c r="A36" s="1" t="s">
        <v>49</v>
      </c>
      <c r="B36" s="3">
        <f>SUM(Table13[[#This Row],[CARSON CITY]:[WHITE PINE]])</f>
        <v>2101068</v>
      </c>
      <c r="C36" s="4">
        <v>13350</v>
      </c>
      <c r="D36" s="4">
        <v>5600</v>
      </c>
      <c r="E36" s="4">
        <v>1849300</v>
      </c>
      <c r="F36" s="4">
        <v>15900</v>
      </c>
      <c r="G36" s="4">
        <v>11850</v>
      </c>
      <c r="H36" s="4">
        <v>150</v>
      </c>
      <c r="I36" s="4">
        <v>158</v>
      </c>
      <c r="J36" s="4">
        <v>4350</v>
      </c>
      <c r="K36" s="4">
        <v>1075</v>
      </c>
      <c r="L36" s="4">
        <v>575</v>
      </c>
      <c r="M36" s="4">
        <v>3175</v>
      </c>
      <c r="N36" s="4">
        <v>600</v>
      </c>
      <c r="O36" s="4">
        <v>4550</v>
      </c>
      <c r="P36" s="4">
        <v>700</v>
      </c>
      <c r="Q36" s="4">
        <v>3860</v>
      </c>
      <c r="R36" s="4">
        <v>184725</v>
      </c>
      <c r="S36" s="4">
        <v>1150</v>
      </c>
    </row>
    <row r="37" spans="1:21" x14ac:dyDescent="0.2">
      <c r="A37" s="1" t="s">
        <v>50</v>
      </c>
      <c r="B37" s="3">
        <f>SUM(Table13[[#This Row],[CARSON CITY]:[WHITE PINE]])</f>
        <v>10408</v>
      </c>
      <c r="C37" s="4">
        <v>0</v>
      </c>
      <c r="D37" s="4">
        <v>405</v>
      </c>
      <c r="E37" s="4">
        <v>7060</v>
      </c>
      <c r="F37" s="4">
        <v>0</v>
      </c>
      <c r="G37" s="21">
        <v>1140</v>
      </c>
      <c r="H37" s="4">
        <v>15</v>
      </c>
      <c r="I37" s="4">
        <v>23</v>
      </c>
      <c r="J37" s="4">
        <v>315</v>
      </c>
      <c r="K37" s="4">
        <v>15</v>
      </c>
      <c r="L37" s="4">
        <v>0</v>
      </c>
      <c r="M37" s="4">
        <v>220</v>
      </c>
      <c r="N37" s="4">
        <v>10</v>
      </c>
      <c r="O37" s="21">
        <v>195</v>
      </c>
      <c r="P37" s="4">
        <v>65</v>
      </c>
      <c r="Q37" s="4">
        <v>315</v>
      </c>
      <c r="R37" s="4">
        <v>610</v>
      </c>
      <c r="S37" s="21">
        <v>20</v>
      </c>
    </row>
    <row r="38" spans="1:21" x14ac:dyDescent="0.2">
      <c r="A38" s="1" t="s">
        <v>35</v>
      </c>
      <c r="B38" s="3">
        <f>SUM(Table13[[#This Row],[CARSON CITY]:[WHITE PINE]])</f>
        <v>1081125</v>
      </c>
      <c r="C38" s="4">
        <v>13940</v>
      </c>
      <c r="D38" s="4">
        <v>6325</v>
      </c>
      <c r="E38" s="4">
        <v>780970</v>
      </c>
      <c r="F38" s="4">
        <v>21071</v>
      </c>
      <c r="G38" s="4">
        <v>18117</v>
      </c>
      <c r="H38" s="4">
        <v>4867</v>
      </c>
      <c r="I38" s="4">
        <v>4254</v>
      </c>
      <c r="J38" s="4">
        <v>8562</v>
      </c>
      <c r="K38" s="4">
        <v>5320</v>
      </c>
      <c r="L38" s="4">
        <v>11174</v>
      </c>
      <c r="M38" s="4">
        <v>22259</v>
      </c>
      <c r="N38" s="4">
        <v>4328</v>
      </c>
      <c r="O38" s="4">
        <v>24429</v>
      </c>
      <c r="P38" s="4">
        <v>4164</v>
      </c>
      <c r="Q38" s="4">
        <v>2116</v>
      </c>
      <c r="R38" s="4">
        <v>145631</v>
      </c>
      <c r="S38" s="4">
        <v>3598</v>
      </c>
    </row>
    <row r="39" spans="1:21" x14ac:dyDescent="0.2">
      <c r="A39" s="1" t="s">
        <v>104</v>
      </c>
      <c r="B39" s="3">
        <f>SUM(Table13[[#This Row],[CARSON CITY]:[WHITE PINE]])</f>
        <v>104879.00000000003</v>
      </c>
      <c r="C39" s="4">
        <v>1684.26</v>
      </c>
      <c r="D39" s="4">
        <v>842.22</v>
      </c>
      <c r="E39" s="4">
        <v>79466.13</v>
      </c>
      <c r="F39" s="4">
        <v>2106.2800000000002</v>
      </c>
      <c r="G39" s="4">
        <v>1684.26</v>
      </c>
      <c r="H39" s="4">
        <v>0</v>
      </c>
      <c r="I39" s="4">
        <v>0</v>
      </c>
      <c r="J39" s="4">
        <v>374.32</v>
      </c>
      <c r="K39" s="4">
        <v>561.41999999999996</v>
      </c>
      <c r="L39" s="4">
        <v>380</v>
      </c>
      <c r="M39" s="4">
        <v>3088.14</v>
      </c>
      <c r="N39" s="4">
        <v>280.70999999999998</v>
      </c>
      <c r="O39" s="4">
        <v>3930.36</v>
      </c>
      <c r="P39" s="4">
        <v>93.57</v>
      </c>
      <c r="Q39" s="4">
        <v>467.85</v>
      </c>
      <c r="R39" s="4">
        <v>9638.74</v>
      </c>
      <c r="S39" s="4">
        <v>280.74</v>
      </c>
    </row>
    <row r="40" spans="1:21" x14ac:dyDescent="0.2">
      <c r="A40" s="1" t="s">
        <v>51</v>
      </c>
      <c r="B40" s="3">
        <f>SUM(Table13[[#This Row],[CARSON CITY]:[WHITE PINE]])</f>
        <v>193735.36</v>
      </c>
      <c r="C40" s="4">
        <v>2659.5</v>
      </c>
      <c r="D40" s="4">
        <v>1329.75</v>
      </c>
      <c r="E40" s="4">
        <v>154716.60999999999</v>
      </c>
      <c r="F40" s="4">
        <v>2364</v>
      </c>
      <c r="G40" s="4">
        <v>2659.5</v>
      </c>
      <c r="H40" s="4">
        <v>0</v>
      </c>
      <c r="I40" s="4">
        <v>0</v>
      </c>
      <c r="J40" s="4">
        <v>447</v>
      </c>
      <c r="K40" s="4">
        <v>886.5</v>
      </c>
      <c r="L40" s="4">
        <v>600</v>
      </c>
      <c r="M40" s="4">
        <v>4875.75</v>
      </c>
      <c r="N40" s="4">
        <v>443.25</v>
      </c>
      <c r="O40" s="4">
        <v>6205.5</v>
      </c>
      <c r="P40" s="4">
        <v>147.75</v>
      </c>
      <c r="Q40" s="4">
        <v>738.75</v>
      </c>
      <c r="R40" s="4">
        <v>15218.25</v>
      </c>
      <c r="S40" s="4">
        <v>443.25</v>
      </c>
    </row>
    <row r="41" spans="1:21" x14ac:dyDescent="0.2">
      <c r="A41" s="1" t="s">
        <v>52</v>
      </c>
      <c r="B41" s="3">
        <f>SUM(Table13[[#This Row],[CARSON CITY]:[WHITE PINE]])</f>
        <v>1435206.15</v>
      </c>
      <c r="C41" s="4">
        <v>0</v>
      </c>
      <c r="D41" s="4">
        <v>0</v>
      </c>
      <c r="E41" s="4">
        <v>0</v>
      </c>
      <c r="F41" s="4">
        <v>0</v>
      </c>
      <c r="G41" s="4">
        <v>0</v>
      </c>
      <c r="H41" s="4">
        <v>0</v>
      </c>
      <c r="I41" s="4">
        <v>0</v>
      </c>
      <c r="J41" s="4">
        <v>0</v>
      </c>
      <c r="K41" s="4">
        <v>0</v>
      </c>
      <c r="L41" s="4">
        <v>0</v>
      </c>
      <c r="M41" s="4">
        <v>0</v>
      </c>
      <c r="N41" s="4">
        <v>0</v>
      </c>
      <c r="O41" s="4">
        <v>0</v>
      </c>
      <c r="P41" s="4">
        <v>0</v>
      </c>
      <c r="Q41" s="4">
        <v>0</v>
      </c>
      <c r="R41" s="4">
        <v>1435206.15</v>
      </c>
      <c r="S41" s="4">
        <v>0</v>
      </c>
    </row>
    <row r="42" spans="1:21" x14ac:dyDescent="0.2">
      <c r="A42" s="1" t="s">
        <v>53</v>
      </c>
      <c r="B42" s="3">
        <f>SUM(Table13[[#This Row],[CARSON CITY]:[WHITE PINE]])</f>
        <v>1862975</v>
      </c>
      <c r="C42" s="4">
        <v>0</v>
      </c>
      <c r="D42" s="4">
        <v>40412.699999999997</v>
      </c>
      <c r="E42" s="4">
        <v>0</v>
      </c>
      <c r="F42" s="4">
        <v>0</v>
      </c>
      <c r="G42" s="4">
        <v>0</v>
      </c>
      <c r="H42" s="4">
        <v>0</v>
      </c>
      <c r="I42" s="4">
        <v>0</v>
      </c>
      <c r="J42" s="4">
        <v>0</v>
      </c>
      <c r="K42" s="4">
        <v>0</v>
      </c>
      <c r="L42" s="4">
        <v>0</v>
      </c>
      <c r="M42" s="4">
        <v>0</v>
      </c>
      <c r="N42" s="4">
        <v>0</v>
      </c>
      <c r="O42" s="4">
        <v>0</v>
      </c>
      <c r="P42" s="4">
        <v>0</v>
      </c>
      <c r="Q42" s="4">
        <v>0</v>
      </c>
      <c r="R42" s="4">
        <v>1822562.3</v>
      </c>
      <c r="S42" s="4">
        <v>0</v>
      </c>
    </row>
    <row r="43" spans="1:21" x14ac:dyDescent="0.2">
      <c r="A43" s="1" t="s">
        <v>54</v>
      </c>
      <c r="B43" s="3">
        <f>SUM(Table13[[#This Row],[CARSON CITY]:[WHITE PINE]])</f>
        <v>4846323.5600000005</v>
      </c>
      <c r="C43" s="4">
        <v>0</v>
      </c>
      <c r="D43" s="4">
        <v>173755.61</v>
      </c>
      <c r="E43" s="4">
        <v>0</v>
      </c>
      <c r="F43" s="4">
        <v>0</v>
      </c>
      <c r="G43" s="4">
        <v>0</v>
      </c>
      <c r="H43" s="4">
        <v>0</v>
      </c>
      <c r="I43" s="4">
        <v>0</v>
      </c>
      <c r="J43" s="4">
        <v>0</v>
      </c>
      <c r="K43" s="4">
        <v>0</v>
      </c>
      <c r="L43" s="4">
        <v>0</v>
      </c>
      <c r="M43" s="4">
        <v>0</v>
      </c>
      <c r="N43" s="4">
        <v>0</v>
      </c>
      <c r="O43" s="4">
        <v>0</v>
      </c>
      <c r="P43" s="4">
        <v>0</v>
      </c>
      <c r="Q43" s="4">
        <v>0</v>
      </c>
      <c r="R43" s="4">
        <v>4672567.95</v>
      </c>
      <c r="S43" s="4">
        <v>0</v>
      </c>
    </row>
    <row r="44" spans="1:21" x14ac:dyDescent="0.2">
      <c r="A44" s="1" t="s">
        <v>37</v>
      </c>
      <c r="B44" s="3">
        <f>SUM(Table13[[#This Row],[CARSON CITY]:[WHITE PINE]])</f>
        <v>2256754.5699999998</v>
      </c>
      <c r="C44" s="4">
        <v>44753</v>
      </c>
      <c r="D44" s="21">
        <v>28846.12</v>
      </c>
      <c r="E44" s="21">
        <v>1574240.72</v>
      </c>
      <c r="F44" s="4">
        <v>32642</v>
      </c>
      <c r="G44" s="21">
        <v>68533.5</v>
      </c>
      <c r="H44" s="4">
        <v>10514</v>
      </c>
      <c r="I44" s="4">
        <v>3677</v>
      </c>
      <c r="J44" s="4">
        <v>37619</v>
      </c>
      <c r="K44" s="4">
        <v>11916</v>
      </c>
      <c r="L44" s="4">
        <v>21335</v>
      </c>
      <c r="M44" s="21">
        <v>48696.45</v>
      </c>
      <c r="N44" s="4">
        <v>31570</v>
      </c>
      <c r="O44" s="4">
        <v>39628.67</v>
      </c>
      <c r="P44" s="4">
        <v>5061</v>
      </c>
      <c r="Q44" s="4">
        <v>11768</v>
      </c>
      <c r="R44" s="21">
        <v>270831.11</v>
      </c>
      <c r="S44" s="21">
        <v>15123</v>
      </c>
    </row>
    <row r="45" spans="1:21" x14ac:dyDescent="0.2">
      <c r="A45" s="1" t="s">
        <v>28</v>
      </c>
      <c r="B45" s="3">
        <f>SUM(Table13[[#This Row],[CARSON CITY]:[WHITE PINE]])</f>
        <v>17600237.75</v>
      </c>
      <c r="C45" s="4">
        <v>227378.5</v>
      </c>
      <c r="D45" s="21">
        <v>183284.64</v>
      </c>
      <c r="E45" s="21">
        <v>12557518.119999999</v>
      </c>
      <c r="F45" s="4">
        <v>274024</v>
      </c>
      <c r="G45" s="21">
        <v>454494</v>
      </c>
      <c r="H45" s="4">
        <v>111634.33</v>
      </c>
      <c r="I45" s="4">
        <v>246229.09</v>
      </c>
      <c r="J45" s="4">
        <v>61942</v>
      </c>
      <c r="K45" s="4">
        <v>87651.66</v>
      </c>
      <c r="L45" s="4">
        <v>238613.05</v>
      </c>
      <c r="M45" s="21">
        <v>238613.05</v>
      </c>
      <c r="N45" s="4">
        <v>221083.68</v>
      </c>
      <c r="O45" s="4">
        <v>315940.34000000003</v>
      </c>
      <c r="P45" s="4">
        <v>33559</v>
      </c>
      <c r="Q45" s="4">
        <v>84406</v>
      </c>
      <c r="R45" s="21">
        <v>2191017.29</v>
      </c>
      <c r="S45" s="21">
        <v>72849</v>
      </c>
    </row>
    <row r="46" spans="1:21" x14ac:dyDescent="0.2">
      <c r="A46" s="1" t="s">
        <v>55</v>
      </c>
      <c r="B46" s="3">
        <f>SUM(Table13[[#This Row],[CARSON CITY]:[WHITE PINE]])</f>
        <v>1582423.99</v>
      </c>
      <c r="C46" s="4">
        <v>32174</v>
      </c>
      <c r="D46" s="21">
        <v>20250.560000000001</v>
      </c>
      <c r="E46" s="21">
        <v>1086832.72</v>
      </c>
      <c r="F46" s="4">
        <v>24480</v>
      </c>
      <c r="G46" s="21">
        <v>52251</v>
      </c>
      <c r="H46" s="4">
        <v>7525</v>
      </c>
      <c r="I46" s="4">
        <v>2641</v>
      </c>
      <c r="J46" s="4">
        <v>26870</v>
      </c>
      <c r="K46" s="4">
        <v>8580</v>
      </c>
      <c r="L46" s="4">
        <v>15280</v>
      </c>
      <c r="M46" s="21">
        <v>34800.21</v>
      </c>
      <c r="N46" s="4">
        <v>22445</v>
      </c>
      <c r="O46" s="4">
        <v>28295</v>
      </c>
      <c r="P46" s="4">
        <v>3488</v>
      </c>
      <c r="Q46" s="4">
        <v>8401</v>
      </c>
      <c r="R46" s="21">
        <v>197375.5</v>
      </c>
      <c r="S46" s="21">
        <v>10735</v>
      </c>
    </row>
    <row r="47" spans="1:21" x14ac:dyDescent="0.2">
      <c r="A47" s="1" t="s">
        <v>57</v>
      </c>
      <c r="B47" s="3">
        <f>SUM(Table13[[#This Row],[CARSON CITY]:[WHITE PINE]])</f>
        <v>6514366.2999999998</v>
      </c>
      <c r="C47" s="4">
        <v>0</v>
      </c>
      <c r="D47" s="4">
        <v>0</v>
      </c>
      <c r="E47" s="25">
        <v>6514366.2999999998</v>
      </c>
      <c r="F47" s="4">
        <v>0</v>
      </c>
      <c r="G47" s="4">
        <v>0</v>
      </c>
      <c r="H47" s="4">
        <v>0</v>
      </c>
      <c r="I47" s="4">
        <v>0</v>
      </c>
      <c r="J47" s="4">
        <v>0</v>
      </c>
      <c r="K47" s="4">
        <v>0</v>
      </c>
      <c r="L47" s="4">
        <v>0</v>
      </c>
      <c r="M47" s="4">
        <v>0</v>
      </c>
      <c r="N47" s="4">
        <v>0</v>
      </c>
      <c r="O47" s="4">
        <v>0</v>
      </c>
      <c r="P47" s="4">
        <v>0</v>
      </c>
      <c r="Q47" s="4">
        <v>0</v>
      </c>
      <c r="R47" s="4">
        <v>0</v>
      </c>
      <c r="S47" s="4">
        <v>0</v>
      </c>
    </row>
    <row r="48" spans="1:21" x14ac:dyDescent="0.2">
      <c r="A48" s="1" t="s">
        <v>60</v>
      </c>
      <c r="B48" s="3">
        <f>SUM(Table13[[#This Row],[CARSON CITY]:[WHITE PINE]])</f>
        <v>2491301.4</v>
      </c>
      <c r="C48" s="4">
        <v>0</v>
      </c>
      <c r="D48" s="4">
        <v>59646.400000000001</v>
      </c>
      <c r="E48" s="4">
        <v>1013343</v>
      </c>
      <c r="F48" s="4">
        <v>0</v>
      </c>
      <c r="G48" s="4">
        <v>0</v>
      </c>
      <c r="H48" s="4">
        <v>0</v>
      </c>
      <c r="I48" s="4">
        <v>0</v>
      </c>
      <c r="J48" s="4">
        <v>0</v>
      </c>
      <c r="K48" s="4">
        <v>0</v>
      </c>
      <c r="L48" s="4">
        <v>0</v>
      </c>
      <c r="M48" s="4">
        <v>0</v>
      </c>
      <c r="N48" s="4">
        <v>0</v>
      </c>
      <c r="O48" s="4">
        <v>1092597</v>
      </c>
      <c r="P48" s="4">
        <v>0</v>
      </c>
      <c r="Q48" s="4">
        <v>0</v>
      </c>
      <c r="R48" s="4">
        <v>0</v>
      </c>
      <c r="S48" s="4">
        <v>325715</v>
      </c>
      <c r="U48" s="4"/>
    </row>
    <row r="49" spans="1:19" x14ac:dyDescent="0.2">
      <c r="A49" s="1" t="s">
        <v>61</v>
      </c>
      <c r="B49" s="3">
        <f>SUM(Table13[[#This Row],[CARSON CITY]:[WHITE PINE]])</f>
        <v>11205.060000000001</v>
      </c>
      <c r="C49" s="4">
        <v>840</v>
      </c>
      <c r="D49" s="21">
        <v>920</v>
      </c>
      <c r="E49" s="21">
        <v>920</v>
      </c>
      <c r="F49" s="4">
        <v>200</v>
      </c>
      <c r="G49" s="21">
        <v>2230</v>
      </c>
      <c r="H49" s="4">
        <v>129.13</v>
      </c>
      <c r="I49" s="4">
        <v>0</v>
      </c>
      <c r="J49" s="4">
        <v>0</v>
      </c>
      <c r="K49" s="4">
        <v>0</v>
      </c>
      <c r="L49" s="4">
        <v>0</v>
      </c>
      <c r="M49" s="21">
        <v>942.93</v>
      </c>
      <c r="N49" s="4">
        <v>185</v>
      </c>
      <c r="O49" s="4">
        <v>100</v>
      </c>
      <c r="P49" s="4">
        <v>800</v>
      </c>
      <c r="Q49" s="4">
        <v>0</v>
      </c>
      <c r="R49" s="21">
        <v>3723</v>
      </c>
      <c r="S49" s="21">
        <v>215</v>
      </c>
    </row>
    <row r="50" spans="1:19" ht="13.5" thickBot="1" x14ac:dyDescent="0.25">
      <c r="A50" s="1" t="s">
        <v>63</v>
      </c>
      <c r="B50" s="3">
        <f>SUM(Table13[[#This Row],[CARSON CITY]:[WHITE PINE]])</f>
        <v>332406</v>
      </c>
      <c r="C50" s="4">
        <v>0</v>
      </c>
      <c r="D50" s="4">
        <v>0</v>
      </c>
      <c r="E50" s="4">
        <v>332406</v>
      </c>
      <c r="F50" s="4">
        <v>0</v>
      </c>
      <c r="G50" s="4">
        <v>0</v>
      </c>
      <c r="H50" s="4">
        <v>0</v>
      </c>
      <c r="I50" s="4">
        <v>0</v>
      </c>
      <c r="J50" s="4">
        <v>0</v>
      </c>
      <c r="K50" s="4">
        <v>0</v>
      </c>
      <c r="L50" s="4">
        <v>0</v>
      </c>
      <c r="M50" s="4">
        <v>0</v>
      </c>
      <c r="N50" s="4">
        <v>0</v>
      </c>
      <c r="O50" s="4">
        <v>0</v>
      </c>
      <c r="P50" s="4">
        <v>0</v>
      </c>
      <c r="Q50" s="4">
        <v>0</v>
      </c>
      <c r="R50" s="4">
        <v>0</v>
      </c>
      <c r="S50" s="4">
        <v>0</v>
      </c>
    </row>
    <row r="51" spans="1:19" s="8" customFormat="1" ht="13.5" thickBot="1" x14ac:dyDescent="0.25">
      <c r="A51" s="5" t="s">
        <v>16</v>
      </c>
      <c r="B51" s="6">
        <f>SUBTOTAL(109,B3:B50)</f>
        <v>478517908.19999993</v>
      </c>
      <c r="C51" s="6">
        <f>SUBTOTAL(109,C3:C50)</f>
        <v>6551381.2499999991</v>
      </c>
      <c r="D51" s="6">
        <f t="shared" ref="D51:S51" si="0">SUBTOTAL(109,D3:D50)</f>
        <v>2685616.31</v>
      </c>
      <c r="E51" s="6">
        <f t="shared" si="0"/>
        <v>324286546.10000008</v>
      </c>
      <c r="F51" s="6">
        <f t="shared" si="0"/>
        <v>14098012.219999999</v>
      </c>
      <c r="G51" s="6">
        <f t="shared" si="0"/>
        <v>6334200.4199999981</v>
      </c>
      <c r="H51" s="6">
        <f t="shared" si="0"/>
        <v>286010.73000000004</v>
      </c>
      <c r="I51" s="6">
        <f t="shared" si="0"/>
        <v>3490325.37</v>
      </c>
      <c r="J51" s="6">
        <f t="shared" si="0"/>
        <v>2709516.9300000006</v>
      </c>
      <c r="K51" s="6">
        <f t="shared" si="0"/>
        <v>1676839.0499999998</v>
      </c>
      <c r="L51" s="6">
        <f t="shared" si="0"/>
        <v>772422.31</v>
      </c>
      <c r="M51" s="6">
        <f t="shared" si="0"/>
        <v>7293829.6599999992</v>
      </c>
      <c r="N51" s="6">
        <f t="shared" si="0"/>
        <v>565209.73</v>
      </c>
      <c r="O51" s="6">
        <f t="shared" si="0"/>
        <v>6773421.96</v>
      </c>
      <c r="P51" s="6">
        <f t="shared" si="0"/>
        <v>800510.71999999986</v>
      </c>
      <c r="Q51" s="6">
        <f t="shared" si="0"/>
        <v>1818119.1500000001</v>
      </c>
      <c r="R51" s="6">
        <f t="shared" si="0"/>
        <v>96926785.959999993</v>
      </c>
      <c r="S51" s="6">
        <f t="shared" si="0"/>
        <v>1449160.33</v>
      </c>
    </row>
    <row r="52" spans="1:19" ht="13.5" thickTop="1" x14ac:dyDescent="0.2">
      <c r="A52" s="14" t="s">
        <v>103</v>
      </c>
      <c r="B52" s="3"/>
      <c r="C52" s="3"/>
    </row>
    <row r="53" spans="1:19" x14ac:dyDescent="0.2">
      <c r="A53" s="23" t="s">
        <v>121</v>
      </c>
      <c r="B53" s="23"/>
      <c r="C53" s="3"/>
    </row>
    <row r="54" spans="1:19" hidden="1" x14ac:dyDescent="0.2">
      <c r="A54" s="15"/>
      <c r="B54" s="15"/>
    </row>
    <row r="55" spans="1:19" hidden="1" x14ac:dyDescent="0.2">
      <c r="A55" s="15"/>
      <c r="B55" s="15"/>
    </row>
    <row r="56" spans="1:19" hidden="1" x14ac:dyDescent="0.2">
      <c r="A56" s="15"/>
      <c r="B56" s="15"/>
    </row>
    <row r="57" spans="1:19" hidden="1" x14ac:dyDescent="0.2">
      <c r="A57" s="15"/>
      <c r="B57" s="15"/>
    </row>
    <row r="58" spans="1:19" hidden="1" x14ac:dyDescent="0.2">
      <c r="A58" s="15"/>
      <c r="B58" s="15"/>
    </row>
    <row r="59" spans="1:19" x14ac:dyDescent="0.2">
      <c r="A59" s="15" t="s">
        <v>122</v>
      </c>
      <c r="B59" s="15"/>
    </row>
    <row r="60" spans="1:19" ht="13.5" customHeight="1" x14ac:dyDescent="0.2">
      <c r="A60" s="15" t="s">
        <v>123</v>
      </c>
      <c r="B60" s="15"/>
    </row>
    <row r="61" spans="1:19" hidden="1" x14ac:dyDescent="0.2">
      <c r="C61" s="15"/>
    </row>
    <row r="62" spans="1:19" hidden="1" x14ac:dyDescent="0.2">
      <c r="A62" s="15"/>
      <c r="B62" s="15"/>
    </row>
    <row r="63" spans="1:19" hidden="1" x14ac:dyDescent="0.2">
      <c r="A63" s="15"/>
      <c r="B63" s="15"/>
    </row>
    <row r="64" spans="1:19" hidden="1" x14ac:dyDescent="0.2">
      <c r="A64" s="15"/>
      <c r="B64" s="15"/>
    </row>
    <row r="65" spans="1:2" hidden="1" x14ac:dyDescent="0.2">
      <c r="A65" s="15"/>
      <c r="B65" s="15"/>
    </row>
    <row r="66" spans="1:2" hidden="1" x14ac:dyDescent="0.2">
      <c r="A66" s="15"/>
      <c r="B66" s="15"/>
    </row>
    <row r="67" spans="1:2" hidden="1" x14ac:dyDescent="0.2">
      <c r="A67" s="15"/>
      <c r="B67" s="15"/>
    </row>
    <row r="68" spans="1:2" hidden="1" x14ac:dyDescent="0.2">
      <c r="A68" s="15"/>
      <c r="B68" s="15"/>
    </row>
    <row r="69" spans="1:2" hidden="1" x14ac:dyDescent="0.2">
      <c r="A69" s="15"/>
      <c r="B69" s="15"/>
    </row>
    <row r="70" spans="1:2" hidden="1" x14ac:dyDescent="0.2">
      <c r="A70" s="15"/>
      <c r="B70" s="15"/>
    </row>
    <row r="71" spans="1:2" hidden="1" x14ac:dyDescent="0.2">
      <c r="A71" s="22"/>
      <c r="B71" s="22"/>
    </row>
    <row r="72" spans="1:2" hidden="1" x14ac:dyDescent="0.2">
      <c r="A72" s="15"/>
      <c r="B72" s="15"/>
    </row>
    <row r="73" spans="1:2" hidden="1" x14ac:dyDescent="0.2">
      <c r="A73" s="15"/>
      <c r="B73" s="15"/>
    </row>
    <row r="74" spans="1:2" hidden="1" x14ac:dyDescent="0.2">
      <c r="A74" s="15"/>
      <c r="B74" s="15"/>
    </row>
    <row r="75" spans="1:2" hidden="1" x14ac:dyDescent="0.2">
      <c r="A75" s="15"/>
      <c r="B75" s="15"/>
    </row>
    <row r="76" spans="1:2" hidden="1" x14ac:dyDescent="0.2">
      <c r="A76" s="15"/>
      <c r="B76" s="15"/>
    </row>
    <row r="77" spans="1:2" hidden="1" x14ac:dyDescent="0.2">
      <c r="A77" s="15"/>
      <c r="B77" s="15"/>
    </row>
    <row r="78" spans="1:2" hidden="1" x14ac:dyDescent="0.2">
      <c r="A78" s="15"/>
      <c r="B78" s="15"/>
    </row>
    <row r="79" spans="1:2" hidden="1" x14ac:dyDescent="0.2">
      <c r="A79" s="15"/>
      <c r="B79" s="15"/>
    </row>
    <row r="80" spans="1:2" hidden="1" x14ac:dyDescent="0.2">
      <c r="A80" s="15"/>
      <c r="B80" s="15"/>
    </row>
    <row r="81" spans="1:2" hidden="1" x14ac:dyDescent="0.2">
      <c r="A81" s="22"/>
      <c r="B81" s="22"/>
    </row>
    <row r="82" spans="1:2" hidden="1" x14ac:dyDescent="0.2">
      <c r="A82" s="15"/>
      <c r="B82" s="15"/>
    </row>
    <row r="83" spans="1:2" hidden="1" x14ac:dyDescent="0.2">
      <c r="A83" s="15"/>
      <c r="B83" s="15"/>
    </row>
    <row r="84" spans="1:2" hidden="1" x14ac:dyDescent="0.2">
      <c r="A84" s="15"/>
      <c r="B84" s="15"/>
    </row>
    <row r="85" spans="1:2" hidden="1" x14ac:dyDescent="0.2">
      <c r="A85" s="15"/>
      <c r="B85" s="15"/>
    </row>
    <row r="86" spans="1:2" hidden="1" x14ac:dyDescent="0.2">
      <c r="A86" s="15"/>
      <c r="B86" s="15"/>
    </row>
    <row r="87" spans="1:2" hidden="1" x14ac:dyDescent="0.2">
      <c r="A87" s="15"/>
      <c r="B87" s="15"/>
    </row>
    <row r="88" spans="1:2" hidden="1" x14ac:dyDescent="0.2">
      <c r="A88" s="15"/>
      <c r="B88" s="15"/>
    </row>
    <row r="89" spans="1:2" hidden="1" x14ac:dyDescent="0.2">
      <c r="A89" s="15"/>
      <c r="B89" s="15"/>
    </row>
    <row r="90" spans="1:2" hidden="1" x14ac:dyDescent="0.2">
      <c r="A90" s="15"/>
      <c r="B90" s="15"/>
    </row>
    <row r="91" spans="1:2" hidden="1" x14ac:dyDescent="0.2">
      <c r="A91" s="14"/>
      <c r="B91" s="14"/>
    </row>
    <row r="92" spans="1:2" hidden="1" x14ac:dyDescent="0.2">
      <c r="A92" s="15"/>
      <c r="B92" s="15"/>
    </row>
    <row r="93" spans="1:2" x14ac:dyDescent="0.2">
      <c r="A93" s="15" t="s">
        <v>119</v>
      </c>
      <c r="B93" s="15"/>
    </row>
    <row r="94" spans="1:2" x14ac:dyDescent="0.2">
      <c r="A94" s="15" t="s">
        <v>120</v>
      </c>
    </row>
  </sheetData>
  <hyperlinks>
    <hyperlink ref="D23" location="'2021'!A94" display="'2021'!A94" xr:uid="{4BB93B94-1E80-4918-9DD4-288995965D51}"/>
    <hyperlink ref="E23" location="'2021'!A94" display="'2021'!A94" xr:uid="{EAF062A1-47D0-4EC4-956F-F550FA3DB689}"/>
    <hyperlink ref="F23" location="'2021'!A94" display="'2021'!A94" xr:uid="{BAF761EF-D94F-4C2C-B7A7-59D899478C1C}"/>
    <hyperlink ref="G23" location="'2021'!A94" display="'2021'!A94" xr:uid="{F20ECAD7-E4BD-4606-A0A4-77134A52DE8A}"/>
    <hyperlink ref="K23" location="'2021'!A94" display="'2021'!A94" xr:uid="{AE25D914-A8EB-4107-9A64-7B00E888037D}"/>
    <hyperlink ref="M23" location="'2021'!A94" display="'2021'!A94" xr:uid="{8A43F379-C7EC-453D-9B9A-ED3032876A7C}"/>
    <hyperlink ref="O23" location="'2021'!A94" display="'2021'!A94" xr:uid="{DA5A28A8-E23B-4E48-AE2C-D3FE55E420F9}"/>
    <hyperlink ref="R23" location="'2021'!A94" display="'2021'!A94" xr:uid="{A2E0B559-2901-47DF-8FFC-6E7ED5CF852D}"/>
    <hyperlink ref="S23" location="'2021'!A94" display="'2021'!A94" xr:uid="{EE0C18AD-E1DD-4804-9477-3AB9D97BACAE}"/>
    <hyperlink ref="E28" location="'2021'!A93" display="'2021'!A93" xr:uid="{06F4E665-AEB9-409F-82B4-EDC4D5CDA8E1}"/>
    <hyperlink ref="D33" location="'2021'!A53" display="'2021'!A53" xr:uid="{03EE0DCD-1C2B-4A71-BF1E-D78085EA56B5}"/>
    <hyperlink ref="E33" location="'2021'!A53" display="'2021'!A53" xr:uid="{3DC04EDA-7507-40C2-AA46-F5697965D585}"/>
    <hyperlink ref="F33" location="'2021'!A53" display="'2021'!A53" xr:uid="{CDEE412D-D9FC-4D85-899C-2C889AAD4151}"/>
    <hyperlink ref="G33" location="'2021'!A53" display="'2021'!A53" xr:uid="{1F8CC77D-8121-464B-8EF3-835547D94FDD}"/>
    <hyperlink ref="M33" location="'2021'!A53" display="'2021'!A53" xr:uid="{63684611-54D5-47C7-BC57-710FA6B82860}"/>
    <hyperlink ref="N33" location="'2021'!A53" display="'2021'!A53" xr:uid="{62DA30F9-C165-41F4-B480-254BB052B695}"/>
    <hyperlink ref="O33" location="'2021'!A53" display="'2021'!A53" xr:uid="{388FDC4C-E113-4F54-9333-D82A565D133E}"/>
    <hyperlink ref="R33" location="'2021'!A53" display="'2021'!A53" xr:uid="{8199653B-B8BB-43E9-B32C-788E0E5AA669}"/>
    <hyperlink ref="S33" location="'2021'!A53" display="'2021'!A53" xr:uid="{1EB5577B-08B6-4EDD-A8DF-7122F6F9C856}"/>
    <hyperlink ref="O37" location="'2021'!A55" display="'2021'!A55" xr:uid="{73CE6718-EF51-4443-BFD4-CC3F90B76AF7}"/>
    <hyperlink ref="G37" location="'2021'!A55" display="'2021'!A55" xr:uid="{1DF7AB41-E586-40E5-9DDC-4959E0C6EEA5}"/>
    <hyperlink ref="S37" location="'2021'!A55" display="'2021'!A55" xr:uid="{317B7787-AEE6-47AE-A8E3-1ECBED48CA4E}"/>
    <hyperlink ref="D44" location="'2021'!A59" display="'2021'!A59" xr:uid="{3EA451C8-3BC5-41A3-9587-ED8C1D9BA7D5}"/>
    <hyperlink ref="E44" location="'2021'!A59" display="'2021'!A59" xr:uid="{04DFAAD2-27EE-4A50-902D-AA913FF3E3AD}"/>
    <hyperlink ref="G44" location="'2021'!A59" display="'2021'!A59" xr:uid="{DFB4122A-B4AF-4732-995E-67C19635CC8E}"/>
    <hyperlink ref="M44" location="'2021'!A59" display="'2021'!A59" xr:uid="{B73F9047-78AD-4287-B21B-D76B70D5A4F0}"/>
    <hyperlink ref="R44" location="'2021'!A59" display="'2021'!A59" xr:uid="{4FFF5167-0660-4F4F-A4AB-2B6BC384D60D}"/>
    <hyperlink ref="S44" location="'2021'!A59" display="'2021'!A59" xr:uid="{1E718182-A8AC-4EC3-A77B-EA5521810DE7}"/>
    <hyperlink ref="D45" location="'2021'!A59" display="'2021'!A59" xr:uid="{02D6CEA0-5883-4002-BF21-CF82B4DD3F14}"/>
    <hyperlink ref="E45" location="'2021'!A59" display="'2021'!A59" xr:uid="{A2C0C3E4-A426-44DB-9110-1320F354D91E}"/>
    <hyperlink ref="G45" location="'2021'!A59" display="'2021'!A59" xr:uid="{21FA8B4A-152E-4881-B093-BB311B0572B3}"/>
    <hyperlink ref="M45" location="'2021'!A59" display="'2021'!A59" xr:uid="{AB352AE6-E391-4E37-A76E-993589F23BB6}"/>
    <hyperlink ref="R45" location="'2021'!A59" display="'2021'!A59" xr:uid="{8EF508C2-5C86-47E4-8643-13FD70310DF4}"/>
    <hyperlink ref="S45" location="'2021'!A59" display="'2021'!A59" xr:uid="{ACE47FEE-3EE2-4D92-B31B-3635E941C443}"/>
    <hyperlink ref="D46" location="'2021'!A59" display="'2021'!A59" xr:uid="{8AA720DE-24DC-444B-92D0-571152092FD7}"/>
    <hyperlink ref="E46" location="'2021'!A59" display="'2021'!A59" xr:uid="{62A766AF-9764-4354-BB01-F61F842855A4}"/>
    <hyperlink ref="G46" location="'2021'!A59" display="'2021'!A59" xr:uid="{9430DF43-A10E-4FE0-9E39-89B0389B5644}"/>
    <hyperlink ref="M46" location="'2021'!A59" display="'2021'!A59" xr:uid="{2B58F278-C51B-4816-9836-F7AEDF606473}"/>
    <hyperlink ref="R46" location="'2021'!A59" display="'2021'!A59" xr:uid="{DD8FF3FB-BA7B-4652-B91F-C93FAADF3599}"/>
    <hyperlink ref="S46" location="'2021'!A59" display="'2021'!A59" xr:uid="{AFB76A23-C7C3-4740-9C8D-E46F64B9117B}"/>
    <hyperlink ref="D49" location="'2021'!A59" display="'2021'!A59" xr:uid="{BA625892-62E8-4165-864C-B07D0EE0F085}"/>
    <hyperlink ref="E49" location="'2021'!A59" display="'2021'!A59" xr:uid="{8ECA33E2-5232-4B60-A1F1-97CF746027F1}"/>
    <hyperlink ref="G49" location="'2021'!A59" display="'2021'!A59" xr:uid="{7374F78D-846C-4834-B4DF-02FDD13AE7E6}"/>
    <hyperlink ref="M49" location="'2021'!A59" display="'2021'!A59" xr:uid="{CC3EC02C-6F03-4371-8354-4AAB432CA8B9}"/>
    <hyperlink ref="R49" location="'2021'!A59" display="'2021'!A59" xr:uid="{EC2C8C2E-9389-429A-AE16-6F3C9B943999}"/>
    <hyperlink ref="S49" location="'2021'!A59" display="'2021'!A59" xr:uid="{693F5DBA-FBC6-4AAD-9912-FDD28137EFE8}"/>
    <hyperlink ref="E27" location="'2021'!A60" display="'2021'!A60" xr:uid="{A5134A76-482C-4BE7-B4D4-5606CE2DAD05}"/>
    <hyperlink ref="M27" location="'2021'!A60" display="'2021'!A60" xr:uid="{6989789C-882A-4BEA-8CD4-B0BF1F090819}"/>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BADACCAECEF2439E3AC134133152E4" ma:contentTypeVersion="14" ma:contentTypeDescription="Create a new document." ma:contentTypeScope="" ma:versionID="ada38bf3e4deaa5290ffb0cd1fcf42c3">
  <xsd:schema xmlns:xsd="http://www.w3.org/2001/XMLSchema" xmlns:xs="http://www.w3.org/2001/XMLSchema" xmlns:p="http://schemas.microsoft.com/office/2006/metadata/properties" xmlns:ns1="http://schemas.microsoft.com/sharepoint/v3" xmlns:ns2="517d65b1-c9b4-4b17-9ddf-4593aeda071d" xmlns:ns3="d07d21d8-c7cb-46be-92b1-5c1330791433" targetNamespace="http://schemas.microsoft.com/office/2006/metadata/properties" ma:root="true" ma:fieldsID="9253d447f5c245ca95570c4824176c35" ns1:_="" ns2:_="" ns3:_="">
    <xsd:import namespace="http://schemas.microsoft.com/sharepoint/v3"/>
    <xsd:import namespace="517d65b1-c9b4-4b17-9ddf-4593aeda071d"/>
    <xsd:import namespace="d07d21d8-c7cb-46be-92b1-5c13307914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7d65b1-c9b4-4b17-9ddf-4593aeda0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7d21d8-c7cb-46be-92b1-5c133079143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AF88FE7-DFC6-477A-A6BA-CEEBCD7FF2AA}"/>
</file>

<file path=customXml/itemProps2.xml><?xml version="1.0" encoding="utf-8"?>
<ds:datastoreItem xmlns:ds="http://schemas.openxmlformats.org/officeDocument/2006/customXml" ds:itemID="{498461D6-2CC9-4D92-8C4D-DB7A505309AF}"/>
</file>

<file path=customXml/itemProps3.xml><?xml version="1.0" encoding="utf-8"?>
<ds:datastoreItem xmlns:ds="http://schemas.openxmlformats.org/officeDocument/2006/customXml" ds:itemID="{9C8D546C-C699-404F-A346-AD5576552F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2019</vt:lpstr>
      <vt:lpstr>2020</vt: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CANNON</dc:creator>
  <cp:lastModifiedBy>rhensley</cp:lastModifiedBy>
  <cp:lastPrinted>2019-01-23T23:41:25Z</cp:lastPrinted>
  <dcterms:created xsi:type="dcterms:W3CDTF">2002-02-21T00:50:00Z</dcterms:created>
  <dcterms:modified xsi:type="dcterms:W3CDTF">2021-12-03T18:24:54Z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0x01010041BADACCAECEF2439E3AC134133152E4</vt:lpwstr>
  </property>
</Properties>
</file>